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EsteLivro"/>
  <mc:AlternateContent xmlns:mc="http://schemas.openxmlformats.org/markup-compatibility/2006">
    <mc:Choice Requires="x15">
      <x15ac:absPath xmlns:x15ac="http://schemas.microsoft.com/office/spreadsheetml/2010/11/ac" url="C:\Users\pedro.tomas\Desktop\folhas cálculo\"/>
    </mc:Choice>
  </mc:AlternateContent>
  <xr:revisionPtr revIDLastSave="0" documentId="8_{FCF05E54-3466-4233-AD9A-CDA27CDA889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lha de Impressão" sheetId="4" r:id="rId1"/>
    <sheet name="CLASSIC" sheetId="3" r:id="rId2"/>
    <sheet name="VELLUTO" sheetId="5" r:id="rId3"/>
    <sheet name="RIVESTO" sheetId="6" r:id="rId4"/>
    <sheet name="Folha3" sheetId="1" state="hidden" r:id="rId5"/>
  </sheets>
  <definedNames>
    <definedName name="cores_fx526">Folha3!$I$22:$I$25</definedName>
    <definedName name="cortiça">Folha3!$C$46:$C$53</definedName>
    <definedName name="EPS">Folha3!$C$5:$C$15</definedName>
    <definedName name="graphitherm">Folha3!$C$26:$C$34</definedName>
    <definedName name="laderochaduo">Folha3!$C$40:$C$45</definedName>
    <definedName name="laderochamono">Folha3!$C$37</definedName>
    <definedName name="livingtherm">Folha3!$C$54:$C$64</definedName>
    <definedName name="silvertech">Folha3!$C$17:$C$25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D5" i="3" s="1"/>
  <c r="O10" i="1"/>
  <c r="E138" i="1"/>
  <c r="E139" i="1"/>
  <c r="E137" i="1"/>
  <c r="E6" i="1"/>
  <c r="E7" i="1"/>
  <c r="E8" i="1"/>
  <c r="E9" i="1"/>
  <c r="E10" i="1"/>
  <c r="E11" i="1"/>
  <c r="E12" i="1"/>
  <c r="E13" i="1"/>
  <c r="E14" i="1"/>
  <c r="E15" i="1"/>
  <c r="E5" i="1"/>
  <c r="I18" i="6" l="1"/>
  <c r="J21" i="6"/>
  <c r="H21" i="6"/>
  <c r="C21" i="6"/>
  <c r="E187" i="1"/>
  <c r="G187" i="1" s="1"/>
  <c r="E188" i="1"/>
  <c r="G188" i="1" s="1"/>
  <c r="E189" i="1"/>
  <c r="G189" i="1" s="1"/>
  <c r="E190" i="1"/>
  <c r="G190" i="1" s="1"/>
  <c r="E191" i="1"/>
  <c r="G191" i="1" s="1"/>
  <c r="E192" i="1"/>
  <c r="G192" i="1" s="1"/>
  <c r="E193" i="1"/>
  <c r="G193" i="1" s="1"/>
  <c r="E186" i="1"/>
  <c r="G186" i="1" s="1"/>
  <c r="D21" i="6" s="1"/>
  <c r="F21" i="6" s="1"/>
  <c r="E110" i="1"/>
  <c r="E109" i="1"/>
  <c r="D110" i="1"/>
  <c r="D109" i="1"/>
  <c r="S46" i="1"/>
  <c r="S45" i="1"/>
  <c r="J16" i="6"/>
  <c r="J15" i="6"/>
  <c r="I16" i="6"/>
  <c r="D16" i="6"/>
  <c r="F16" i="6" s="1"/>
  <c r="J37" i="6"/>
  <c r="I37" i="6"/>
  <c r="D37" i="6"/>
  <c r="F37" i="6" s="1"/>
  <c r="J36" i="6"/>
  <c r="I36" i="6"/>
  <c r="D36" i="6"/>
  <c r="F36" i="6" s="1"/>
  <c r="J35" i="6"/>
  <c r="I35" i="6"/>
  <c r="D35" i="6"/>
  <c r="F35" i="6" s="1"/>
  <c r="J34" i="6"/>
  <c r="I34" i="6"/>
  <c r="D34" i="6"/>
  <c r="F34" i="6" s="1"/>
  <c r="J33" i="6"/>
  <c r="H33" i="6"/>
  <c r="I33" i="6" s="1"/>
  <c r="I15" i="6"/>
  <c r="D15" i="6"/>
  <c r="F15" i="6" s="1"/>
  <c r="J10" i="6"/>
  <c r="I10" i="6"/>
  <c r="J8" i="6"/>
  <c r="I8" i="6"/>
  <c r="I20" i="5"/>
  <c r="G174" i="1"/>
  <c r="J174" i="1" s="1"/>
  <c r="G175" i="1"/>
  <c r="J175" i="1" s="1"/>
  <c r="G176" i="1"/>
  <c r="J176" i="1" s="1"/>
  <c r="G173" i="1"/>
  <c r="J173" i="1" s="1"/>
  <c r="D174" i="1"/>
  <c r="D175" i="1"/>
  <c r="D176" i="1"/>
  <c r="D173" i="1"/>
  <c r="J20" i="5" s="1"/>
  <c r="D161" i="1"/>
  <c r="D162" i="1"/>
  <c r="D163" i="1"/>
  <c r="D164" i="1"/>
  <c r="D165" i="1"/>
  <c r="D166" i="1"/>
  <c r="D167" i="1"/>
  <c r="D168" i="1"/>
  <c r="D169" i="1"/>
  <c r="D170" i="1"/>
  <c r="D160" i="1"/>
  <c r="J17" i="5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60" i="1"/>
  <c r="J160" i="1" s="1"/>
  <c r="I17" i="5"/>
  <c r="I15" i="5"/>
  <c r="J40" i="5"/>
  <c r="I40" i="5"/>
  <c r="D40" i="5"/>
  <c r="F40" i="5" s="1"/>
  <c r="J39" i="5"/>
  <c r="I39" i="5"/>
  <c r="D39" i="5"/>
  <c r="F39" i="5" s="1"/>
  <c r="J38" i="5"/>
  <c r="I38" i="5"/>
  <c r="D38" i="5"/>
  <c r="F38" i="5" s="1"/>
  <c r="J37" i="5"/>
  <c r="I37" i="5"/>
  <c r="D37" i="5"/>
  <c r="F37" i="5" s="1"/>
  <c r="J36" i="5"/>
  <c r="I36" i="5"/>
  <c r="D36" i="5"/>
  <c r="F36" i="5" s="1"/>
  <c r="J35" i="5"/>
  <c r="H35" i="5"/>
  <c r="I35" i="5" s="1"/>
  <c r="I25" i="5"/>
  <c r="J23" i="5"/>
  <c r="I23" i="5"/>
  <c r="D23" i="5"/>
  <c r="F23" i="5" s="1"/>
  <c r="J12" i="5"/>
  <c r="H12" i="5"/>
  <c r="C12" i="5"/>
  <c r="I12" i="5" s="1"/>
  <c r="J10" i="5"/>
  <c r="I10" i="5"/>
  <c r="J8" i="5"/>
  <c r="I8" i="5"/>
  <c r="D32" i="3"/>
  <c r="J33" i="3"/>
  <c r="D33" i="3"/>
  <c r="J19" i="3"/>
  <c r="D19" i="3"/>
  <c r="I21" i="3"/>
  <c r="C12" i="3"/>
  <c r="I12" i="3" s="1"/>
  <c r="I10" i="3"/>
  <c r="I8" i="3"/>
  <c r="D20" i="5" l="1"/>
  <c r="F20" i="5" s="1"/>
  <c r="D17" i="5"/>
  <c r="F17" i="5" s="1"/>
  <c r="I21" i="6"/>
  <c r="K21" i="6" s="1"/>
  <c r="K20" i="5"/>
  <c r="K16" i="6"/>
  <c r="E111" i="1"/>
  <c r="J12" i="6" s="1"/>
  <c r="D111" i="1"/>
  <c r="S48" i="1"/>
  <c r="K37" i="6"/>
  <c r="K36" i="6"/>
  <c r="K35" i="6"/>
  <c r="K17" i="5"/>
  <c r="K33" i="6"/>
  <c r="K8" i="6"/>
  <c r="K34" i="6"/>
  <c r="K10" i="6"/>
  <c r="K15" i="6"/>
  <c r="K39" i="5"/>
  <c r="K12" i="5"/>
  <c r="K37" i="5"/>
  <c r="K36" i="5"/>
  <c r="K23" i="5"/>
  <c r="K38" i="5"/>
  <c r="K40" i="5"/>
  <c r="K35" i="5"/>
  <c r="K8" i="5"/>
  <c r="K10" i="5"/>
  <c r="H12" i="6" l="1"/>
  <c r="I12" i="6" s="1"/>
  <c r="K12" i="6" s="1"/>
  <c r="J12" i="3"/>
  <c r="J10" i="3"/>
  <c r="J8" i="3"/>
  <c r="P45" i="1" l="1"/>
  <c r="L114" i="1"/>
  <c r="O114" i="1" s="1"/>
  <c r="L113" i="1"/>
  <c r="O113" i="1" s="1"/>
  <c r="L46" i="1"/>
  <c r="O46" i="1" s="1"/>
  <c r="L45" i="1"/>
  <c r="O45" i="1" s="1"/>
  <c r="L44" i="1"/>
  <c r="O44" i="1" s="1"/>
  <c r="E53" i="1"/>
  <c r="E47" i="1"/>
  <c r="E46" i="1"/>
  <c r="K14" i="1"/>
  <c r="M14" i="1" s="1"/>
  <c r="K6" i="1"/>
  <c r="M6" i="1" s="1"/>
  <c r="J32" i="3" l="1"/>
  <c r="J31" i="3"/>
  <c r="I32" i="3" l="1"/>
  <c r="K32" i="3" s="1"/>
  <c r="F32" i="3"/>
  <c r="H31" i="3" l="1"/>
  <c r="I31" i="3" s="1"/>
  <c r="K31" i="3" s="1"/>
  <c r="D35" i="5" l="1"/>
  <c r="F35" i="5" s="1"/>
  <c r="D33" i="6"/>
  <c r="F33" i="6" s="1"/>
  <c r="D31" i="3"/>
  <c r="F31" i="3" s="1"/>
  <c r="O8" i="1"/>
  <c r="B110" i="1" l="1"/>
  <c r="B109" i="1"/>
  <c r="F101" i="1"/>
  <c r="F100" i="1"/>
  <c r="F99" i="1"/>
  <c r="F98" i="1"/>
  <c r="F97" i="1"/>
  <c r="F96" i="1"/>
  <c r="K13" i="1" l="1"/>
  <c r="M13" i="1" s="1"/>
  <c r="K5" i="1"/>
  <c r="M5" i="1" s="1"/>
  <c r="B134" i="1"/>
  <c r="H12" i="3" l="1"/>
  <c r="I19" i="3"/>
  <c r="K12" i="3"/>
  <c r="K10" i="3"/>
  <c r="K8" i="3"/>
  <c r="L25" i="1" l="1"/>
  <c r="N25" i="1" s="1"/>
  <c r="F95" i="1"/>
  <c r="F94" i="1"/>
  <c r="F93" i="1"/>
  <c r="F92" i="1"/>
  <c r="F91" i="1"/>
  <c r="F90" i="1"/>
  <c r="D18" i="6" s="1"/>
  <c r="F89" i="1"/>
  <c r="E45" i="1"/>
  <c r="E41" i="1"/>
  <c r="E42" i="1"/>
  <c r="E43" i="1"/>
  <c r="E44" i="1"/>
  <c r="E40" i="1"/>
  <c r="E55" i="1"/>
  <c r="E56" i="1"/>
  <c r="E57" i="1"/>
  <c r="E58" i="1"/>
  <c r="E59" i="1"/>
  <c r="E60" i="1"/>
  <c r="E61" i="1"/>
  <c r="E62" i="1"/>
  <c r="E63" i="1"/>
  <c r="E64" i="1"/>
  <c r="E54" i="1"/>
  <c r="E27" i="1"/>
  <c r="E28" i="1"/>
  <c r="E29" i="1"/>
  <c r="E30" i="1"/>
  <c r="E31" i="1"/>
  <c r="E32" i="1"/>
  <c r="E33" i="1"/>
  <c r="E34" i="1"/>
  <c r="E26" i="1"/>
  <c r="E17" i="1"/>
  <c r="E18" i="1"/>
  <c r="E19" i="1"/>
  <c r="E20" i="1"/>
  <c r="E21" i="1"/>
  <c r="E22" i="1"/>
  <c r="E23" i="1"/>
  <c r="E24" i="1"/>
  <c r="J34" i="3" l="1"/>
  <c r="J35" i="3"/>
  <c r="J36" i="3"/>
  <c r="I36" i="3"/>
  <c r="I35" i="3"/>
  <c r="I34" i="3"/>
  <c r="I33" i="3"/>
  <c r="K33" i="3" l="1"/>
  <c r="K35" i="3"/>
  <c r="K34" i="3"/>
  <c r="K36" i="3"/>
  <c r="K19" i="3"/>
  <c r="E9" i="4"/>
  <c r="F27" i="4" l="1"/>
  <c r="F28" i="4"/>
  <c r="F29" i="4"/>
  <c r="F30" i="4"/>
  <c r="F26" i="4"/>
  <c r="F25" i="4"/>
  <c r="F24" i="4"/>
  <c r="C26" i="4"/>
  <c r="C25" i="4"/>
  <c r="B30" i="4"/>
  <c r="B26" i="4"/>
  <c r="B25" i="4"/>
  <c r="B24" i="4"/>
  <c r="A30" i="4"/>
  <c r="A29" i="4"/>
  <c r="A28" i="4"/>
  <c r="A27" i="4"/>
  <c r="A26" i="4"/>
  <c r="A25" i="4"/>
  <c r="A24" i="4"/>
  <c r="D17" i="4"/>
  <c r="F17" i="4" l="1"/>
  <c r="F16" i="4"/>
  <c r="F15" i="4"/>
  <c r="F14" i="4"/>
  <c r="C17" i="4"/>
  <c r="C16" i="4"/>
  <c r="F13" i="4"/>
  <c r="C13" i="4" l="1"/>
  <c r="E24" i="4" l="1"/>
  <c r="D34" i="3"/>
  <c r="E28" i="4" s="1"/>
  <c r="D35" i="3"/>
  <c r="E29" i="4" s="1"/>
  <c r="D36" i="3"/>
  <c r="E30" i="4" s="1"/>
  <c r="E27" i="4" l="1"/>
  <c r="F33" i="3"/>
  <c r="B17" i="4"/>
  <c r="B16" i="4"/>
  <c r="B15" i="4"/>
  <c r="B14" i="4"/>
  <c r="B13" i="4"/>
  <c r="A17" i="4"/>
  <c r="A16" i="4"/>
  <c r="A15" i="4"/>
  <c r="A14" i="4"/>
  <c r="A13" i="4"/>
  <c r="F36" i="3" l="1"/>
  <c r="G30" i="4" s="1"/>
  <c r="F35" i="3"/>
  <c r="G29" i="4" s="1"/>
  <c r="F34" i="3"/>
  <c r="G28" i="4" s="1"/>
  <c r="G27" i="4"/>
  <c r="B13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14" i="1"/>
  <c r="F67" i="1"/>
  <c r="D12" i="6" s="1"/>
  <c r="F12" i="6" s="1"/>
  <c r="F68" i="1"/>
  <c r="F69" i="1"/>
  <c r="F70" i="1"/>
  <c r="F71" i="1"/>
  <c r="F72" i="1"/>
  <c r="F73" i="1"/>
  <c r="F74" i="1"/>
  <c r="F75" i="1"/>
  <c r="F76" i="1"/>
  <c r="F77" i="1"/>
  <c r="F78" i="1"/>
  <c r="F79" i="1"/>
  <c r="F83" i="1"/>
  <c r="F84" i="1"/>
  <c r="F85" i="1"/>
  <c r="F86" i="1"/>
  <c r="F87" i="1"/>
  <c r="F88" i="1"/>
  <c r="F66" i="1"/>
  <c r="D25" i="5" s="1"/>
  <c r="F19" i="3"/>
  <c r="G24" i="4" l="1"/>
  <c r="B135" i="1"/>
  <c r="B111" i="1"/>
  <c r="D31" i="6" l="1"/>
  <c r="F31" i="6" s="1"/>
  <c r="J33" i="5"/>
  <c r="D29" i="3"/>
  <c r="D33" i="5"/>
  <c r="F33" i="5" s="1"/>
  <c r="J31" i="6"/>
  <c r="F18" i="6"/>
  <c r="J18" i="6"/>
  <c r="K18" i="6" s="1"/>
  <c r="H25" i="5"/>
  <c r="F25" i="5"/>
  <c r="J25" i="5"/>
  <c r="K25" i="5" s="1"/>
  <c r="J21" i="3"/>
  <c r="K21" i="3" s="1"/>
  <c r="D21" i="3"/>
  <c r="H21" i="3"/>
  <c r="D132" i="1"/>
  <c r="J29" i="3"/>
  <c r="I29" i="3" l="1"/>
  <c r="K29" i="3" s="1"/>
  <c r="K38" i="3" s="1"/>
  <c r="G32" i="4" s="1"/>
  <c r="I33" i="5"/>
  <c r="K33" i="5" s="1"/>
  <c r="K42" i="5" s="1"/>
  <c r="I31" i="6"/>
  <c r="K31" i="6" s="1"/>
  <c r="K39" i="6" s="1"/>
  <c r="F29" i="3"/>
  <c r="G26" i="4" s="1"/>
  <c r="E26" i="4"/>
  <c r="F21" i="3"/>
  <c r="E25" i="4"/>
  <c r="G25" i="4" l="1"/>
  <c r="G31" i="4" s="1"/>
  <c r="P47" i="1"/>
  <c r="P46" i="1"/>
  <c r="L33" i="1" l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7" i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32" i="1"/>
  <c r="O32" i="1" s="1"/>
  <c r="O47" i="1" l="1"/>
  <c r="D15" i="5"/>
  <c r="F15" i="5" s="1"/>
  <c r="P48" i="1"/>
  <c r="J15" i="5" s="1"/>
  <c r="K15" i="5" s="1"/>
  <c r="L23" i="1"/>
  <c r="N23" i="1" s="1"/>
  <c r="L24" i="1"/>
  <c r="N24" i="1" s="1"/>
  <c r="O11" i="1"/>
  <c r="O9" i="1"/>
  <c r="O7" i="1"/>
  <c r="O6" i="1"/>
  <c r="L22" i="1"/>
  <c r="L26" i="1"/>
  <c r="N26" i="1" s="1"/>
  <c r="L27" i="1"/>
  <c r="N27" i="1" s="1"/>
  <c r="L28" i="1"/>
  <c r="N28" i="1" s="1"/>
  <c r="L21" i="1"/>
  <c r="K17" i="1"/>
  <c r="M17" i="1" s="1"/>
  <c r="K16" i="1"/>
  <c r="M16" i="1" s="1"/>
  <c r="K15" i="1"/>
  <c r="M15" i="1" s="1"/>
  <c r="K12" i="1"/>
  <c r="K11" i="1"/>
  <c r="K4" i="1"/>
  <c r="M4" i="1" s="1"/>
  <c r="K7" i="1"/>
  <c r="M7" i="1" s="1"/>
  <c r="K8" i="1"/>
  <c r="M8" i="1" s="1"/>
  <c r="K3" i="1"/>
  <c r="D8" i="6" l="1"/>
  <c r="F8" i="6" s="1"/>
  <c r="D8" i="5"/>
  <c r="F8" i="5" s="1"/>
  <c r="D8" i="3"/>
  <c r="F8" i="3" s="1"/>
  <c r="D10" i="5"/>
  <c r="F10" i="5" s="1"/>
  <c r="D10" i="6"/>
  <c r="F10" i="6" s="1"/>
  <c r="D10" i="3"/>
  <c r="E15" i="4" s="1"/>
  <c r="N21" i="1"/>
  <c r="D12" i="5"/>
  <c r="F12" i="5" s="1"/>
  <c r="D12" i="3"/>
  <c r="J15" i="3"/>
  <c r="C15" i="3"/>
  <c r="I15" i="3" s="1"/>
  <c r="M11" i="1"/>
  <c r="N22" i="1"/>
  <c r="M3" i="1"/>
  <c r="M12" i="1"/>
  <c r="J5" i="3" l="1"/>
  <c r="H5" i="6"/>
  <c r="D5" i="6"/>
  <c r="F5" i="6" s="1"/>
  <c r="F26" i="6" s="1"/>
  <c r="F27" i="6" s="1"/>
  <c r="K40" i="6" s="1"/>
  <c r="D5" i="5"/>
  <c r="F5" i="5" s="1"/>
  <c r="F28" i="5" s="1"/>
  <c r="F29" i="5" s="1"/>
  <c r="K43" i="5" s="1"/>
  <c r="I5" i="6"/>
  <c r="I5" i="5"/>
  <c r="H5" i="5"/>
  <c r="J5" i="6"/>
  <c r="J5" i="5"/>
  <c r="E14" i="4"/>
  <c r="D15" i="3"/>
  <c r="E17" i="4" s="1"/>
  <c r="K15" i="3"/>
  <c r="F10" i="3"/>
  <c r="G15" i="4" s="1"/>
  <c r="H5" i="3"/>
  <c r="I5" i="3"/>
  <c r="E16" i="4"/>
  <c r="F12" i="3"/>
  <c r="G16" i="4" s="1"/>
  <c r="G14" i="4"/>
  <c r="K5" i="3" l="1"/>
  <c r="K5" i="5"/>
  <c r="K5" i="6"/>
  <c r="F15" i="3"/>
  <c r="G17" i="4" s="1"/>
  <c r="F5" i="3"/>
  <c r="F24" i="3" l="1"/>
  <c r="E13" i="4"/>
  <c r="G13" i="4"/>
  <c r="G18" i="4" l="1"/>
  <c r="F25" i="3"/>
  <c r="G19" i="4" l="1"/>
  <c r="F35" i="4" s="1"/>
  <c r="F34" i="4"/>
  <c r="K39" i="3"/>
  <c r="E48" i="1"/>
  <c r="E51" i="1"/>
  <c r="E49" i="1"/>
  <c r="E50" i="1"/>
  <c r="E52" i="1"/>
</calcChain>
</file>

<file path=xl/sharedStrings.xml><?xml version="1.0" encoding="utf-8"?>
<sst xmlns="http://schemas.openxmlformats.org/spreadsheetml/2006/main" count="665" uniqueCount="164">
  <si>
    <t>Espessura</t>
  </si>
  <si>
    <t>Preço Embalagem</t>
  </si>
  <si>
    <t>Fornecimento m2</t>
  </si>
  <si>
    <t>Placa</t>
  </si>
  <si>
    <t>A 50</t>
  </si>
  <si>
    <t>AL 88</t>
  </si>
  <si>
    <t>ECO-LIGHT 950</t>
  </si>
  <si>
    <t>Cola</t>
  </si>
  <si>
    <t>Fornecimento kg</t>
  </si>
  <si>
    <t>Preço Saco</t>
  </si>
  <si>
    <t>Preço kg</t>
  </si>
  <si>
    <t>Regularizador</t>
  </si>
  <si>
    <t>Primário</t>
  </si>
  <si>
    <t>Preço Balde</t>
  </si>
  <si>
    <t>Preço Litro</t>
  </si>
  <si>
    <t>FA 249</t>
  </si>
  <si>
    <t>FS 412</t>
  </si>
  <si>
    <t>FX 526</t>
  </si>
  <si>
    <t>FASSIL F 328</t>
  </si>
  <si>
    <t>FOND-ELAST 223</t>
  </si>
  <si>
    <t>Consumo kg/m2</t>
  </si>
  <si>
    <t>Consumo m2/l</t>
  </si>
  <si>
    <t>Revestimento</t>
  </si>
  <si>
    <t>RSR 421</t>
  </si>
  <si>
    <t>RX 561</t>
  </si>
  <si>
    <t>RTA 549</t>
  </si>
  <si>
    <t>FASSIL R 336</t>
  </si>
  <si>
    <t>RI-ELAST 225</t>
  </si>
  <si>
    <t>Placa Isolante</t>
  </si>
  <si>
    <t>Granulometria</t>
  </si>
  <si>
    <t>Cor</t>
  </si>
  <si>
    <t>Branco</t>
  </si>
  <si>
    <t>Incolor</t>
  </si>
  <si>
    <t>Faixa I</t>
  </si>
  <si>
    <t>Faixa II</t>
  </si>
  <si>
    <t>Faixa III</t>
  </si>
  <si>
    <t>Faixa IV</t>
  </si>
  <si>
    <t>Faixa V</t>
  </si>
  <si>
    <t>FLEXYTHERM 11</t>
  </si>
  <si>
    <t>Exmo.(s) Sr.(s)</t>
  </si>
  <si>
    <t>S. Mamede - Batalha</t>
  </si>
  <si>
    <t>Produto</t>
  </si>
  <si>
    <t>Descrição</t>
  </si>
  <si>
    <t>Técnico Comercial</t>
  </si>
  <si>
    <t>Data</t>
  </si>
  <si>
    <t>Acessórios</t>
  </si>
  <si>
    <t>Perfil de Arranque</t>
  </si>
  <si>
    <t>Perfil de Canto</t>
  </si>
  <si>
    <t>Perfil de Canto com Goteira</t>
  </si>
  <si>
    <r>
      <t>Preço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</si>
  <si>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Perfil Junta de Dilatação</t>
  </si>
  <si>
    <r>
      <t>Valor Total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</si>
  <si>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Rede Regularizador</t>
  </si>
  <si>
    <t>FASSANET 160</t>
  </si>
  <si>
    <t>FASSA BASE FIX</t>
  </si>
  <si>
    <t>FASSA WOOD FIX</t>
  </si>
  <si>
    <t xml:space="preserve">Preço </t>
  </si>
  <si>
    <t>Comprimento</t>
  </si>
  <si>
    <t>PVC EXTENSÍVEL</t>
  </si>
  <si>
    <t>ALUMÍNIO</t>
  </si>
  <si>
    <t>60/90</t>
  </si>
  <si>
    <t>100/160</t>
  </si>
  <si>
    <t>170/240</t>
  </si>
  <si>
    <t>FASSANET 370</t>
  </si>
  <si>
    <t>Desconto</t>
  </si>
  <si>
    <t>Valor Final</t>
  </si>
  <si>
    <r>
      <t>Valor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</si>
  <si>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Observações</t>
  </si>
  <si>
    <t>Rede de Reforço</t>
  </si>
  <si>
    <r>
      <t>Consumo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</si>
  <si>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2 placas</t>
  </si>
  <si>
    <t>2 - 2,5 Kg</t>
  </si>
  <si>
    <t>2,3 - 2,5 Kg</t>
  </si>
  <si>
    <t>2,6 - 3,4 Kg</t>
  </si>
  <si>
    <t>2 - 2,9 Kg</t>
  </si>
  <si>
    <t>2,3 - 2,9 Kg</t>
  </si>
  <si>
    <t>3,0 - 3,7 Kg</t>
  </si>
  <si>
    <r>
      <t>Preço m</t>
    </r>
    <r>
      <rPr>
        <vertAlign val="superscript"/>
        <sz val="11"/>
        <color theme="1"/>
        <rFont val="Calibri"/>
        <family val="2"/>
        <scheme val="minor"/>
      </rPr>
      <t>2</t>
    </r>
  </si>
  <si>
    <t>Tel.: 244 709 200</t>
  </si>
  <si>
    <t>Preço</t>
  </si>
  <si>
    <r>
      <t>Valores m</t>
    </r>
    <r>
      <rPr>
        <b/>
        <vertAlign val="superscript"/>
        <sz val="10"/>
        <color theme="1"/>
        <rFont val="Arial"/>
        <family val="2"/>
      </rPr>
      <t>2</t>
    </r>
  </si>
  <si>
    <t>fassalusa@fassabortolo.com</t>
  </si>
  <si>
    <t>Valor Total da Obra</t>
  </si>
  <si>
    <t>Área da Obra</t>
  </si>
  <si>
    <r>
      <t>Total m</t>
    </r>
    <r>
      <rPr>
        <b/>
        <vertAlign val="superscript"/>
        <sz val="10"/>
        <color theme="1"/>
        <rFont val="Arial"/>
        <family val="2"/>
      </rPr>
      <t>2</t>
    </r>
  </si>
  <si>
    <t>(s/ acessórios)</t>
  </si>
  <si>
    <t>Área de Aplicação</t>
  </si>
  <si>
    <t>. O presente documento não se destina a recomendação técnica.</t>
  </si>
  <si>
    <t>. Os preços dos materiais encontram-se de acordo com a tabela de preços em vigor. IVA não incluído.</t>
  </si>
  <si>
    <t>. Para mais informações, consultar o Manual Técnica de Aplicação FASSATHERM ou o Departamento</t>
  </si>
  <si>
    <t>Consumo</t>
  </si>
  <si>
    <t>Quantidade</t>
  </si>
  <si>
    <t>Valor Embalagem</t>
  </si>
  <si>
    <t>Valor total dos Acessórios</t>
  </si>
  <si>
    <t>SILVERTECH 031</t>
  </si>
  <si>
    <t>(c/ acessórios)</t>
  </si>
  <si>
    <t>FASSA TOP FIX 2G</t>
  </si>
  <si>
    <t>Técnico FASSA BORTOLO.</t>
  </si>
  <si>
    <t>Embalagem</t>
  </si>
  <si>
    <t>Valor Total</t>
  </si>
  <si>
    <t>Rolos 50 m</t>
  </si>
  <si>
    <t>A 96 Branco</t>
  </si>
  <si>
    <t>A 96 Cinza</t>
  </si>
  <si>
    <t>FASSA H3</t>
  </si>
  <si>
    <t>Valor Total dos Acessórios</t>
  </si>
  <si>
    <t>VALOR TOTAL DA OBRA</t>
  </si>
  <si>
    <r>
      <t>VALOR TOTAL m</t>
    </r>
    <r>
      <rPr>
        <vertAlign val="superscript"/>
        <sz val="12"/>
        <color theme="1"/>
        <rFont val="Calibri"/>
        <family val="2"/>
        <scheme val="minor"/>
      </rPr>
      <t>2</t>
    </r>
  </si>
  <si>
    <t>Fornecimento L</t>
  </si>
  <si>
    <t>FASSA COMBI FIX PLUS</t>
  </si>
  <si>
    <t>BASECOLL</t>
  </si>
  <si>
    <t>Selecionar as células brancas</t>
  </si>
  <si>
    <t>Placa Isolante de Arranque</t>
  </si>
  <si>
    <t>Cola/Regularizador para Arranque</t>
  </si>
  <si>
    <t>AN 55 P</t>
  </si>
  <si>
    <t>RX 561 RIBBÉ F</t>
  </si>
  <si>
    <t>EPS 036</t>
  </si>
  <si>
    <t>LIVINGTHERM 034</t>
  </si>
  <si>
    <t>2,4 - 2,9 Kg</t>
  </si>
  <si>
    <t>BASETHERM CAM 60mm</t>
  </si>
  <si>
    <t>BASETHERM CAM 80mm</t>
  </si>
  <si>
    <t>BASETHERM CAM 100mm</t>
  </si>
  <si>
    <t>Valor Acessórios</t>
  </si>
  <si>
    <t>FASSANET MAXI</t>
  </si>
  <si>
    <t>ALUMÍNIO 8X12</t>
  </si>
  <si>
    <t>ALUMÍNIO 10X23</t>
  </si>
  <si>
    <t>PVC 8X12</t>
  </si>
  <si>
    <t>PVC 10X15</t>
  </si>
  <si>
    <t>PVC 10X23</t>
  </si>
  <si>
    <t>VELLUTO</t>
  </si>
  <si>
    <t>Revestimento 1,0 mm</t>
  </si>
  <si>
    <t>Revestimento 0,6 mm</t>
  </si>
  <si>
    <t>Igualdade</t>
  </si>
  <si>
    <t>Revestimento Liso</t>
  </si>
  <si>
    <t>DESIDERI VELLUTO</t>
  </si>
  <si>
    <t>Rede Regularizador Reforçada</t>
  </si>
  <si>
    <t>FASSANET ZR 185</t>
  </si>
  <si>
    <t>Fixação Mecânica</t>
  </si>
  <si>
    <t>Fixação Mecânica Primária</t>
  </si>
  <si>
    <t>Fixação Mecânica Passante</t>
  </si>
  <si>
    <t>RIVESTO</t>
  </si>
  <si>
    <t>Velluto</t>
  </si>
  <si>
    <t>Rivesto</t>
  </si>
  <si>
    <t>FASSAFLEX TOP</t>
  </si>
  <si>
    <t>Fornecimento Kg</t>
  </si>
  <si>
    <t>FASSAFLEX Cinza</t>
  </si>
  <si>
    <t>FASSAFLEX Branco</t>
  </si>
  <si>
    <t>RAPID MAXI S1 Branco</t>
  </si>
  <si>
    <t>RAPID MAXI S1 Cinza</t>
  </si>
  <si>
    <t>FASSATECH 2 Cinza</t>
  </si>
  <si>
    <t>FASSATECH 2 Branco</t>
  </si>
  <si>
    <t>Preço saco</t>
  </si>
  <si>
    <t xml:space="preserve">AX 91 </t>
  </si>
  <si>
    <t>Preço Kg</t>
  </si>
  <si>
    <t>Preço m2</t>
  </si>
  <si>
    <t>Argamassa de Betumação</t>
  </si>
  <si>
    <t>Junta Elástica</t>
  </si>
  <si>
    <t>FASSASIL NTR PLUS</t>
  </si>
  <si>
    <t>FASSAFILL SMALL</t>
  </si>
  <si>
    <t>FASSAFILL MEDIUM</t>
  </si>
  <si>
    <t>FASSAFILL LARGE</t>
  </si>
  <si>
    <t>Consultar consumos em pavimentação</t>
  </si>
  <si>
    <t>GRAPHITHERM 031</t>
  </si>
  <si>
    <t>LÃ DE ROCHA</t>
  </si>
  <si>
    <t>CORTIÇA 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</si>
</sst>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\ &quot;€&quot;"/>
    <numFmt numFmtId="165" formatCode="0&quot; cm&quot;"/>
    <numFmt numFmtId="166" formatCode="0.0&quot; mm&quot;"/>
    <numFmt numFmtId="167" formatCode="0&quot; m2&quot;"/>
    <numFmt numFmtId="168" formatCode="0&quot; m&quot;"/>
    <numFmt numFmtId="169" formatCode="0&quot; Caixas&quot;"/>
    <numFmt numFmtId="170" formatCode="0.00&quot; €/m2&quot;"/>
    <numFmt numFmtId="171" formatCode="0&quot; mm&quot;"/>
    <numFmt numFmtId="172" formatCode="0.00&quot; €/m&quot;"/>
    <numFmt numFmtId="173" formatCode="0.00&quot; m&quot;"/>
    <numFmt numFmtId="174" formatCode="0&quot; Unidades&quot;"/>
    <numFmt numFmtId="175" formatCode="0&quot; Litros&quot;"/>
    <numFmt numFmtId="176" formatCode="0.0&quot; Kg&quot;"/>
    <numFmt numFmtId="177" formatCode="0.00&quot; Litros&quot;"/>
    <numFmt numFmtId="178" formatCode="#,##0.00&quot; €/Uni&quot;"/>
    <numFmt numFmtId="179" formatCode="#,##0.00&quot; €/m&quot;"/>
    <numFmt numFmtId="180" formatCode="0&quot; buchas&quot;"/>
    <numFmt numFmtId="181" formatCode="0&quot; Rolos&quot;"/>
    <numFmt numFmtId="182" formatCode="0&quot; Perfis&quot;"/>
    <numFmt numFmtId="183" formatCode="0.0&quot; m2&quot;"/>
    <numFmt numFmtId="184" formatCode="0&quot; Volumes&quot;"/>
    <numFmt numFmtId="185" formatCode="0.0&quot; m&quot;"/>
    <numFmt numFmtId="186" formatCode="0&quot; Kg&quot;"/>
    <numFmt numFmtId="187" formatCode="0&quot; Embalagens&quot;"/>
    <numFmt numFmtId="188" formatCode="0.00&quot; Kg&quot;"/>
    <numFmt numFmtId="189" formatCode="0&quot; Kits&quot;"/>
    <numFmt numFmtId="190" formatCode="0.00&quot; litros&quot;"/>
    <numFmt numFmtId="191" formatCode="0.00&quot; Kg/m&quot;"/>
    <numFmt numFmtId="192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right" vertical="center"/>
    </xf>
    <xf numFmtId="14" fontId="4" fillId="0" borderId="0" xfId="0" applyNumberFormat="1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19" xfId="0" applyFont="1" applyFill="1" applyBorder="1"/>
    <xf numFmtId="0" fontId="11" fillId="3" borderId="0" xfId="0" applyFont="1" applyFill="1" applyBorder="1"/>
    <xf numFmtId="0" fontId="0" fillId="3" borderId="25" xfId="0" applyFill="1" applyBorder="1"/>
    <xf numFmtId="0" fontId="11" fillId="3" borderId="0" xfId="0" applyFont="1" applyFill="1" applyBorder="1" applyAlignment="1">
      <alignment horizontal="center"/>
    </xf>
    <xf numFmtId="0" fontId="2" fillId="3" borderId="25" xfId="0" applyFont="1" applyFill="1" applyBorder="1"/>
    <xf numFmtId="0" fontId="9" fillId="6" borderId="22" xfId="0" applyFont="1" applyFill="1" applyBorder="1" applyAlignment="1">
      <alignment horizontal="center"/>
    </xf>
    <xf numFmtId="165" fontId="9" fillId="6" borderId="22" xfId="0" applyNumberFormat="1" applyFont="1" applyFill="1" applyBorder="1" applyAlignment="1">
      <alignment horizontal="center"/>
    </xf>
    <xf numFmtId="166" fontId="9" fillId="6" borderId="22" xfId="0" applyNumberFormat="1" applyFont="1" applyFill="1" applyBorder="1" applyAlignment="1">
      <alignment horizontal="center"/>
    </xf>
    <xf numFmtId="10" fontId="9" fillId="6" borderId="22" xfId="0" applyNumberFormat="1" applyFont="1" applyFill="1" applyBorder="1"/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172" fontId="11" fillId="5" borderId="29" xfId="0" applyNumberFormat="1" applyFont="1" applyFill="1" applyBorder="1" applyAlignment="1">
      <alignment horizontal="right" vertical="center"/>
    </xf>
    <xf numFmtId="172" fontId="11" fillId="5" borderId="31" xfId="0" applyNumberFormat="1" applyFont="1" applyFill="1" applyBorder="1" applyAlignment="1">
      <alignment horizontal="center" vertical="center"/>
    </xf>
    <xf numFmtId="0" fontId="0" fillId="5" borderId="30" xfId="0" applyFill="1" applyBorder="1"/>
    <xf numFmtId="0" fontId="8" fillId="3" borderId="25" xfId="0" applyFont="1" applyFill="1" applyBorder="1" applyAlignment="1">
      <alignment horizontal="right" vertical="center"/>
    </xf>
    <xf numFmtId="0" fontId="7" fillId="3" borderId="25" xfId="0" applyFont="1" applyFill="1" applyBorder="1"/>
    <xf numFmtId="0" fontId="9" fillId="6" borderId="22" xfId="0" applyFont="1" applyFill="1" applyBorder="1" applyAlignment="1">
      <alignment horizontal="center" vertical="center"/>
    </xf>
    <xf numFmtId="168" fontId="9" fillId="6" borderId="22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0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/>
    <xf numFmtId="164" fontId="11" fillId="5" borderId="0" xfId="0" applyNumberFormat="1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168" fontId="9" fillId="6" borderId="2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3" borderId="1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0" fillId="3" borderId="24" xfId="0" applyFill="1" applyBorder="1"/>
    <xf numFmtId="164" fontId="11" fillId="5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right"/>
    </xf>
    <xf numFmtId="0" fontId="9" fillId="4" borderId="44" xfId="0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center"/>
    </xf>
    <xf numFmtId="170" fontId="11" fillId="5" borderId="34" xfId="0" applyNumberFormat="1" applyFont="1" applyFill="1" applyBorder="1" applyAlignment="1">
      <alignment horizontal="center" vertical="center"/>
    </xf>
    <xf numFmtId="170" fontId="11" fillId="5" borderId="44" xfId="0" applyNumberFormat="1" applyFont="1" applyFill="1" applyBorder="1" applyAlignment="1">
      <alignment horizontal="right" vertical="center"/>
    </xf>
    <xf numFmtId="0" fontId="0" fillId="3" borderId="26" xfId="0" applyFill="1" applyBorder="1"/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182" fontId="11" fillId="5" borderId="25" xfId="0" applyNumberFormat="1" applyFont="1" applyFill="1" applyBorder="1" applyAlignment="1">
      <alignment horizontal="center" vertical="center"/>
    </xf>
    <xf numFmtId="182" fontId="11" fillId="5" borderId="35" xfId="0" applyNumberFormat="1" applyFont="1" applyFill="1" applyBorder="1" applyAlignment="1">
      <alignment horizontal="center" vertical="center"/>
    </xf>
    <xf numFmtId="181" fontId="11" fillId="5" borderId="26" xfId="0" applyNumberFormat="1" applyFont="1" applyFill="1" applyBorder="1" applyAlignment="1">
      <alignment horizontal="center" vertical="center"/>
    </xf>
    <xf numFmtId="0" fontId="2" fillId="3" borderId="28" xfId="0" applyFont="1" applyFill="1" applyBorder="1"/>
    <xf numFmtId="0" fontId="12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1" fillId="3" borderId="4" xfId="0" applyFont="1" applyFill="1" applyBorder="1"/>
    <xf numFmtId="0" fontId="0" fillId="3" borderId="4" xfId="0" applyFill="1" applyBorder="1"/>
    <xf numFmtId="164" fontId="11" fillId="5" borderId="28" xfId="0" applyNumberFormat="1" applyFont="1" applyFill="1" applyBorder="1" applyAlignment="1">
      <alignment horizontal="center" vertical="center"/>
    </xf>
    <xf numFmtId="173" fontId="11" fillId="5" borderId="28" xfId="0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0" fillId="3" borderId="23" xfId="0" applyFill="1" applyBorder="1"/>
    <xf numFmtId="0" fontId="8" fillId="3" borderId="37" xfId="0" applyFont="1" applyFill="1" applyBorder="1" applyAlignment="1">
      <alignment horizontal="right" vertical="center"/>
    </xf>
    <xf numFmtId="164" fontId="9" fillId="5" borderId="22" xfId="0" applyNumberFormat="1" applyFont="1" applyFill="1" applyBorder="1" applyAlignment="1">
      <alignment horizontal="center"/>
    </xf>
    <xf numFmtId="171" fontId="9" fillId="6" borderId="22" xfId="0" applyNumberFormat="1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center" vertical="center" wrapText="1"/>
    </xf>
    <xf numFmtId="164" fontId="0" fillId="0" borderId="50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181" fontId="11" fillId="5" borderId="25" xfId="0" applyNumberFormat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185" fontId="11" fillId="5" borderId="35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86" fontId="11" fillId="5" borderId="2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164" fontId="9" fillId="2" borderId="7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187" fontId="11" fillId="5" borderId="35" xfId="0" applyNumberFormat="1" applyFont="1" applyFill="1" applyBorder="1" applyAlignment="1">
      <alignment horizontal="center" vertical="center"/>
    </xf>
    <xf numFmtId="172" fontId="11" fillId="5" borderId="21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right"/>
    </xf>
    <xf numFmtId="188" fontId="11" fillId="5" borderId="32" xfId="0" applyNumberFormat="1" applyFont="1" applyFill="1" applyBorder="1" applyAlignment="1">
      <alignment horizontal="center" vertical="center"/>
    </xf>
    <xf numFmtId="189" fontId="11" fillId="5" borderId="35" xfId="0" applyNumberFormat="1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/>
    </xf>
    <xf numFmtId="167" fontId="9" fillId="6" borderId="56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 vertical="center"/>
    </xf>
    <xf numFmtId="168" fontId="9" fillId="6" borderId="48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91" fontId="11" fillId="5" borderId="21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174" fontId="11" fillId="5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171" fontId="9" fillId="6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vertical="center"/>
    </xf>
    <xf numFmtId="10" fontId="9" fillId="6" borderId="56" xfId="0" applyNumberFormat="1" applyFont="1" applyFill="1" applyBorder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0" fontId="0" fillId="0" borderId="9" xfId="0" applyBorder="1"/>
    <xf numFmtId="192" fontId="0" fillId="0" borderId="9" xfId="0" applyNumberForma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92" fontId="0" fillId="0" borderId="16" xfId="0" applyNumberFormat="1" applyBorder="1" applyAlignment="1">
      <alignment horizontal="center"/>
    </xf>
    <xf numFmtId="164" fontId="0" fillId="0" borderId="17" xfId="0" applyNumberFormat="1" applyBorder="1"/>
    <xf numFmtId="10" fontId="9" fillId="6" borderId="0" xfId="0" applyNumberFormat="1" applyFont="1" applyFill="1" applyBorder="1" applyAlignment="1">
      <alignment vertical="center"/>
    </xf>
    <xf numFmtId="176" fontId="11" fillId="5" borderId="0" xfId="0" applyNumberFormat="1" applyFont="1" applyFill="1" applyBorder="1" applyAlignment="1">
      <alignment horizontal="center" vertical="center"/>
    </xf>
    <xf numFmtId="192" fontId="0" fillId="0" borderId="9" xfId="0" applyNumberFormat="1" applyFill="1" applyBorder="1" applyAlignment="1">
      <alignment horizontal="center"/>
    </xf>
    <xf numFmtId="192" fontId="0" fillId="0" borderId="16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0" fontId="11" fillId="3" borderId="2" xfId="0" applyFont="1" applyFill="1" applyBorder="1"/>
    <xf numFmtId="173" fontId="11" fillId="5" borderId="0" xfId="0" applyNumberFormat="1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/>
    </xf>
    <xf numFmtId="0" fontId="0" fillId="0" borderId="10" xfId="0" applyBorder="1"/>
    <xf numFmtId="0" fontId="1" fillId="0" borderId="22" xfId="0" applyFont="1" applyBorder="1" applyAlignment="1">
      <alignment horizontal="center"/>
    </xf>
    <xf numFmtId="0" fontId="9" fillId="4" borderId="65" xfId="0" applyFont="1" applyFill="1" applyBorder="1" applyAlignment="1">
      <alignment horizontal="right"/>
    </xf>
    <xf numFmtId="0" fontId="0" fillId="5" borderId="66" xfId="0" applyFill="1" applyBorder="1"/>
    <xf numFmtId="172" fontId="11" fillId="5" borderId="47" xfId="0" applyNumberFormat="1" applyFont="1" applyFill="1" applyBorder="1" applyAlignment="1">
      <alignment horizontal="center" vertical="center"/>
    </xf>
    <xf numFmtId="172" fontId="11" fillId="5" borderId="67" xfId="0" applyNumberFormat="1" applyFont="1" applyFill="1" applyBorder="1" applyAlignment="1">
      <alignment horizontal="right" vertical="center"/>
    </xf>
    <xf numFmtId="185" fontId="11" fillId="5" borderId="53" xfId="0" applyNumberFormat="1" applyFont="1" applyFill="1" applyBorder="1" applyAlignment="1">
      <alignment horizontal="center" vertical="center"/>
    </xf>
    <xf numFmtId="182" fontId="11" fillId="5" borderId="5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8" fontId="11" fillId="5" borderId="0" xfId="0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8" fillId="3" borderId="23" xfId="0" applyFont="1" applyFill="1" applyBorder="1" applyAlignment="1">
      <alignment horizontal="right" vertical="center"/>
    </xf>
    <xf numFmtId="0" fontId="11" fillId="4" borderId="57" xfId="0" applyFont="1" applyFill="1" applyBorder="1" applyAlignment="1">
      <alignment horizontal="right" vertical="center"/>
    </xf>
    <xf numFmtId="0" fontId="2" fillId="3" borderId="21" xfId="0" applyFont="1" applyFill="1" applyBorder="1"/>
    <xf numFmtId="173" fontId="11" fillId="5" borderId="38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181" fontId="11" fillId="5" borderId="70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0" fontId="0" fillId="3" borderId="2" xfId="0" applyFill="1" applyBorder="1"/>
    <xf numFmtId="171" fontId="9" fillId="6" borderId="56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0" fillId="8" borderId="10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0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6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/>
    </xf>
    <xf numFmtId="0" fontId="0" fillId="8" borderId="1" xfId="0" applyFill="1" applyBorder="1"/>
    <xf numFmtId="0" fontId="0" fillId="8" borderId="4" xfId="0" applyFill="1" applyBorder="1"/>
    <xf numFmtId="0" fontId="0" fillId="8" borderId="6" xfId="0" applyFill="1" applyBorder="1"/>
    <xf numFmtId="164" fontId="17" fillId="5" borderId="19" xfId="0" applyNumberFormat="1" applyFont="1" applyFill="1" applyBorder="1" applyAlignment="1">
      <alignment horizontal="center" vertical="center"/>
    </xf>
    <xf numFmtId="164" fontId="17" fillId="5" borderId="54" xfId="0" applyNumberFormat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8" fontId="9" fillId="6" borderId="56" xfId="0" applyNumberFormat="1" applyFont="1" applyFill="1" applyBorder="1" applyAlignment="1">
      <alignment horizontal="center" vertical="center"/>
    </xf>
    <xf numFmtId="168" fontId="9" fillId="6" borderId="48" xfId="0" applyNumberFormat="1" applyFont="1" applyFill="1" applyBorder="1" applyAlignment="1">
      <alignment horizontal="center" vertical="center"/>
    </xf>
    <xf numFmtId="172" fontId="11" fillId="5" borderId="56" xfId="0" applyNumberFormat="1" applyFont="1" applyFill="1" applyBorder="1" applyAlignment="1">
      <alignment horizontal="center" vertical="center"/>
    </xf>
    <xf numFmtId="172" fontId="11" fillId="5" borderId="63" xfId="0" applyNumberFormat="1" applyFont="1" applyFill="1" applyBorder="1" applyAlignment="1">
      <alignment horizontal="center" vertical="center"/>
    </xf>
    <xf numFmtId="185" fontId="11" fillId="5" borderId="24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1" fillId="5" borderId="43" xfId="0" applyNumberFormat="1" applyFont="1" applyFill="1" applyBorder="1" applyAlignment="1">
      <alignment horizontal="center" vertical="center"/>
    </xf>
    <xf numFmtId="164" fontId="11" fillId="5" borderId="49" xfId="0" applyNumberFormat="1" applyFont="1" applyFill="1" applyBorder="1" applyAlignment="1">
      <alignment horizontal="center" vertical="center"/>
    </xf>
    <xf numFmtId="10" fontId="9" fillId="6" borderId="56" xfId="0" applyNumberFormat="1" applyFont="1" applyFill="1" applyBorder="1" applyAlignment="1">
      <alignment horizontal="right" vertical="center"/>
    </xf>
    <xf numFmtId="10" fontId="9" fillId="6" borderId="48" xfId="0" applyNumberFormat="1" applyFont="1" applyFill="1" applyBorder="1" applyAlignment="1">
      <alignment horizontal="right" vertical="center"/>
    </xf>
    <xf numFmtId="172" fontId="11" fillId="5" borderId="55" xfId="0" applyNumberFormat="1" applyFont="1" applyFill="1" applyBorder="1" applyAlignment="1">
      <alignment horizontal="right" vertical="center"/>
    </xf>
    <xf numFmtId="172" fontId="11" fillId="5" borderId="58" xfId="0" applyNumberFormat="1" applyFont="1" applyFill="1" applyBorder="1" applyAlignment="1">
      <alignment horizontal="right" vertical="center"/>
    </xf>
    <xf numFmtId="174" fontId="11" fillId="5" borderId="24" xfId="0" applyNumberFormat="1" applyFont="1" applyFill="1" applyBorder="1" applyAlignment="1">
      <alignment horizontal="center" vertical="center"/>
    </xf>
    <xf numFmtId="174" fontId="11" fillId="5" borderId="32" xfId="0" applyNumberFormat="1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4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74" fontId="11" fillId="5" borderId="25" xfId="0" applyNumberFormat="1" applyFont="1" applyFill="1" applyBorder="1" applyAlignment="1">
      <alignment horizontal="center" vertical="center"/>
    </xf>
    <xf numFmtId="174" fontId="11" fillId="5" borderId="26" xfId="0" applyNumberFormat="1" applyFont="1" applyFill="1" applyBorder="1" applyAlignment="1">
      <alignment horizontal="center" vertical="center"/>
    </xf>
    <xf numFmtId="169" fontId="11" fillId="5" borderId="25" xfId="0" applyNumberFormat="1" applyFont="1" applyFill="1" applyBorder="1" applyAlignment="1">
      <alignment horizontal="center" vertical="center"/>
    </xf>
    <xf numFmtId="169" fontId="11" fillId="5" borderId="26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80" fontId="11" fillId="5" borderId="39" xfId="0" applyNumberFormat="1" applyFont="1" applyFill="1" applyBorder="1" applyAlignment="1">
      <alignment horizontal="center" vertical="center"/>
    </xf>
    <xf numFmtId="180" fontId="11" fillId="5" borderId="44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64" fontId="11" fillId="5" borderId="44" xfId="0" applyNumberFormat="1" applyFont="1" applyFill="1" applyBorder="1" applyAlignment="1">
      <alignment horizontal="right" vertical="center"/>
    </xf>
    <xf numFmtId="190" fontId="11" fillId="5" borderId="39" xfId="0" applyNumberFormat="1" applyFont="1" applyFill="1" applyBorder="1" applyAlignment="1">
      <alignment horizontal="center" vertical="center"/>
    </xf>
    <xf numFmtId="175" fontId="11" fillId="5" borderId="25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right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55" xfId="0" applyNumberFormat="1" applyFont="1" applyFill="1" applyBorder="1" applyAlignment="1">
      <alignment horizontal="right" vertical="center"/>
    </xf>
    <xf numFmtId="183" fontId="11" fillId="5" borderId="24" xfId="0" applyNumberFormat="1" applyFont="1" applyFill="1" applyBorder="1" applyAlignment="1">
      <alignment horizontal="center" vertical="center"/>
    </xf>
    <xf numFmtId="183" fontId="11" fillId="5" borderId="25" xfId="0" applyNumberFormat="1" applyFont="1" applyFill="1" applyBorder="1" applyAlignment="1">
      <alignment horizontal="center" vertical="center"/>
    </xf>
    <xf numFmtId="184" fontId="11" fillId="5" borderId="24" xfId="0" applyNumberFormat="1" applyFont="1" applyFill="1" applyBorder="1" applyAlignment="1">
      <alignment horizontal="center" vertical="center"/>
    </xf>
    <xf numFmtId="184" fontId="11" fillId="5" borderId="25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0" fontId="9" fillId="6" borderId="57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176" fontId="11" fillId="5" borderId="23" xfId="0" applyNumberFormat="1" applyFont="1" applyFill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76" fontId="11" fillId="5" borderId="68" xfId="0" applyNumberFormat="1" applyFont="1" applyFill="1" applyBorder="1" applyAlignment="1">
      <alignment horizontal="center" vertical="center"/>
    </xf>
    <xf numFmtId="164" fontId="11" fillId="5" borderId="69" xfId="0" applyNumberFormat="1" applyFont="1" applyFill="1" applyBorder="1" applyAlignment="1">
      <alignment horizontal="center" vertical="center"/>
    </xf>
    <xf numFmtId="164" fontId="11" fillId="5" borderId="68" xfId="0" applyNumberFormat="1" applyFont="1" applyFill="1" applyBorder="1" applyAlignment="1">
      <alignment horizontal="right" vertical="center"/>
    </xf>
    <xf numFmtId="186" fontId="11" fillId="5" borderId="70" xfId="0" applyNumberFormat="1" applyFont="1" applyFill="1" applyBorder="1" applyAlignment="1">
      <alignment horizontal="center" vertical="center"/>
    </xf>
    <xf numFmtId="174" fontId="11" fillId="5" borderId="70" xfId="0" applyNumberFormat="1" applyFont="1" applyFill="1" applyBorder="1" applyAlignment="1">
      <alignment horizontal="center" vertical="center"/>
    </xf>
    <xf numFmtId="176" fontId="11" fillId="5" borderId="58" xfId="0" applyNumberFormat="1" applyFont="1" applyFill="1" applyBorder="1" applyAlignment="1">
      <alignment horizontal="center" vertical="center"/>
    </xf>
    <xf numFmtId="164" fontId="11" fillId="5" borderId="58" xfId="0" applyNumberFormat="1" applyFont="1" applyFill="1" applyBorder="1" applyAlignment="1">
      <alignment horizontal="right" vertical="center"/>
    </xf>
    <xf numFmtId="186" fontId="11" fillId="5" borderId="32" xfId="0" applyNumberFormat="1" applyFont="1" applyFill="1" applyBorder="1" applyAlignment="1">
      <alignment horizontal="center" vertical="center"/>
    </xf>
    <xf numFmtId="177" fontId="11" fillId="5" borderId="39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180" fontId="11" fillId="5" borderId="23" xfId="0" applyNumberFormat="1" applyFont="1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20511</xdr:rowOff>
    </xdr:from>
    <xdr:to>
      <xdr:col>1</xdr:col>
      <xdr:colOff>819150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11"/>
          <a:ext cx="2200275" cy="589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71685</xdr:rowOff>
    </xdr:from>
    <xdr:to>
      <xdr:col>7</xdr:col>
      <xdr:colOff>0</xdr:colOff>
      <xdr:row>48</xdr:row>
      <xdr:rowOff>182879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704"/>
        <a:stretch/>
      </xdr:blipFill>
      <xdr:spPr>
        <a:xfrm>
          <a:off x="0" y="8796585"/>
          <a:ext cx="5762625" cy="690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1464945</xdr:colOff>
      <xdr:row>2</xdr:row>
      <xdr:rowOff>168515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208276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1476375</xdr:colOff>
      <xdr:row>2</xdr:row>
      <xdr:rowOff>176135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219706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1476375</xdr:colOff>
      <xdr:row>2</xdr:row>
      <xdr:rowOff>176135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219706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ssalusa@fassabortol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zoomScale="120" zoomScaleNormal="120" workbookViewId="0">
      <selection activeCell="A9" sqref="A9"/>
    </sheetView>
  </sheetViews>
  <sheetFormatPr defaultRowHeight="14.4" x14ac:dyDescent="0.3"/>
  <cols>
    <col min="1" max="1" width="20.6640625" customWidth="1"/>
    <col min="2" max="2" width="14.5546875" customWidth="1"/>
    <col min="3" max="3" width="7.5546875" customWidth="1"/>
    <col min="4" max="4" width="6.44140625" customWidth="1"/>
    <col min="5" max="5" width="14" customWidth="1"/>
    <col min="6" max="6" width="11.44140625" customWidth="1"/>
    <col min="7" max="7" width="11.6640625" customWidth="1"/>
  </cols>
  <sheetData>
    <row r="1" spans="1:7" x14ac:dyDescent="0.3">
      <c r="A1" s="15"/>
    </row>
    <row r="4" spans="1:7" x14ac:dyDescent="0.3">
      <c r="F4" s="50" t="s">
        <v>39</v>
      </c>
    </row>
    <row r="5" spans="1:7" x14ac:dyDescent="0.3">
      <c r="F5" s="49"/>
    </row>
    <row r="6" spans="1:7" x14ac:dyDescent="0.3">
      <c r="A6" s="59" t="s">
        <v>43</v>
      </c>
      <c r="F6" s="49" t="s">
        <v>40</v>
      </c>
    </row>
    <row r="7" spans="1:7" x14ac:dyDescent="0.3">
      <c r="A7" s="60"/>
    </row>
    <row r="8" spans="1:7" x14ac:dyDescent="0.3">
      <c r="A8" s="61" t="s">
        <v>78</v>
      </c>
      <c r="E8" s="53" t="s">
        <v>83</v>
      </c>
      <c r="G8" s="53" t="s">
        <v>44</v>
      </c>
    </row>
    <row r="9" spans="1:7" x14ac:dyDescent="0.3">
      <c r="A9" s="60" t="s">
        <v>81</v>
      </c>
      <c r="E9" s="104">
        <f>CLASSIC!C2</f>
        <v>1</v>
      </c>
      <c r="G9" s="54">
        <v>42795</v>
      </c>
    </row>
    <row r="11" spans="1:7" ht="16.2" thickBot="1" x14ac:dyDescent="0.35">
      <c r="A11" s="71" t="s">
        <v>80</v>
      </c>
      <c r="B11" s="71"/>
      <c r="C11" s="71"/>
      <c r="D11" s="71"/>
      <c r="E11" s="71"/>
      <c r="F11" s="66"/>
      <c r="G11" s="66"/>
    </row>
    <row r="12" spans="1:7" x14ac:dyDescent="0.3">
      <c r="A12" s="67" t="s">
        <v>42</v>
      </c>
      <c r="B12" s="68" t="s">
        <v>41</v>
      </c>
      <c r="C12" s="267" t="s">
        <v>67</v>
      </c>
      <c r="D12" s="267"/>
      <c r="E12" s="68" t="s">
        <v>79</v>
      </c>
      <c r="F12" s="68" t="s">
        <v>64</v>
      </c>
      <c r="G12" s="68" t="s">
        <v>65</v>
      </c>
    </row>
    <row r="13" spans="1:7" x14ac:dyDescent="0.3">
      <c r="A13" s="65" t="str">
        <f>CLASSIC!A5</f>
        <v>Placa Isolante</v>
      </c>
      <c r="B13" s="62" t="str">
        <f>CLASSIC!B5</f>
        <v>LÃ DE ROCHA</v>
      </c>
      <c r="C13" s="64">
        <f>CLASSIC!B6</f>
        <v>4</v>
      </c>
      <c r="E13" s="72">
        <f>CLASSIC!D5</f>
        <v>18</v>
      </c>
      <c r="F13" s="63">
        <f>CLASSIC!E5</f>
        <v>0.5</v>
      </c>
      <c r="G13" s="72">
        <f>CLASSIC!F5</f>
        <v>9</v>
      </c>
    </row>
    <row r="14" spans="1:7" x14ac:dyDescent="0.3">
      <c r="A14" s="65" t="str">
        <f>CLASSIC!A8</f>
        <v>Cola</v>
      </c>
      <c r="B14" s="62" t="str">
        <f>CLASSIC!B8</f>
        <v>A 50</v>
      </c>
      <c r="E14" s="72">
        <f>CLASSIC!D8</f>
        <v>3.3529999999999998</v>
      </c>
      <c r="F14" s="63">
        <f>CLASSIC!E8</f>
        <v>0.55000000000000004</v>
      </c>
      <c r="G14" s="72">
        <f>CLASSIC!F8</f>
        <v>1.5088499999999998</v>
      </c>
    </row>
    <row r="15" spans="1:7" x14ac:dyDescent="0.3">
      <c r="A15" s="65" t="str">
        <f>CLASSIC!A10</f>
        <v>Regularizador</v>
      </c>
      <c r="B15" s="62" t="str">
        <f>CLASSIC!B10</f>
        <v>A 96 Cinza</v>
      </c>
      <c r="E15" s="72">
        <f>CLASSIC!D10</f>
        <v>5.194</v>
      </c>
      <c r="F15" s="63">
        <f>CLASSIC!E10</f>
        <v>0.55000000000000004</v>
      </c>
      <c r="G15" s="72">
        <f>CLASSIC!F10</f>
        <v>2.3372999999999999</v>
      </c>
    </row>
    <row r="16" spans="1:7" x14ac:dyDescent="0.3">
      <c r="A16" s="65" t="str">
        <f>CLASSIC!A12</f>
        <v>Primário</v>
      </c>
      <c r="B16" s="62" t="str">
        <f>CLASSIC!B12</f>
        <v>FX 526</v>
      </c>
      <c r="C16" s="62" t="str">
        <f>CLASSIC!B13</f>
        <v>Branco</v>
      </c>
      <c r="E16" s="72">
        <f>CLASSIC!D12</f>
        <v>0.64919999999999989</v>
      </c>
      <c r="F16" s="63">
        <f>CLASSIC!E12</f>
        <v>0.5</v>
      </c>
      <c r="G16" s="72">
        <f>CLASSIC!F12</f>
        <v>0.32459999999999994</v>
      </c>
    </row>
    <row r="17" spans="1:7" ht="15" thickBot="1" x14ac:dyDescent="0.35">
      <c r="A17" s="65" t="str">
        <f>CLASSIC!A15</f>
        <v>Revestimento</v>
      </c>
      <c r="B17" s="62" t="str">
        <f>CLASSIC!B15</f>
        <v>RX 561</v>
      </c>
      <c r="C17" s="62" t="str">
        <f>CLASSIC!B16</f>
        <v>Branco</v>
      </c>
      <c r="D17" s="97">
        <f>CLASSIC!B17</f>
        <v>1</v>
      </c>
      <c r="E17" s="72">
        <f>CLASSIC!D15</f>
        <v>7.94</v>
      </c>
      <c r="F17" s="103">
        <f>CLASSIC!E15</f>
        <v>0.5</v>
      </c>
      <c r="G17" s="73">
        <f>CLASSIC!F15</f>
        <v>3.97</v>
      </c>
    </row>
    <row r="18" spans="1:7" ht="16.8" thickBot="1" x14ac:dyDescent="0.35">
      <c r="F18" s="70" t="s">
        <v>84</v>
      </c>
      <c r="G18" s="151">
        <f>CLASSIC!F24</f>
        <v>18.693033999999997</v>
      </c>
    </row>
    <row r="19" spans="1:7" ht="15" thickBot="1" x14ac:dyDescent="0.35">
      <c r="F19" s="70" t="s">
        <v>82</v>
      </c>
      <c r="G19" s="151">
        <f>G18*CLASSIC!C2</f>
        <v>18.693033999999997</v>
      </c>
    </row>
    <row r="20" spans="1:7" x14ac:dyDescent="0.3">
      <c r="F20" s="110" t="s">
        <v>85</v>
      </c>
    </row>
    <row r="22" spans="1:7" ht="15" thickBot="1" x14ac:dyDescent="0.35">
      <c r="A22" s="71" t="s">
        <v>45</v>
      </c>
      <c r="B22" s="71"/>
      <c r="C22" s="71"/>
      <c r="D22" s="71"/>
      <c r="E22" s="71"/>
      <c r="F22" s="66"/>
      <c r="G22" s="66"/>
    </row>
    <row r="23" spans="1:7" x14ac:dyDescent="0.3">
      <c r="A23" s="67" t="s">
        <v>42</v>
      </c>
      <c r="B23" s="68" t="s">
        <v>41</v>
      </c>
      <c r="C23" s="267" t="s">
        <v>67</v>
      </c>
      <c r="D23" s="267"/>
      <c r="E23" s="68" t="s">
        <v>79</v>
      </c>
      <c r="F23" s="68" t="s">
        <v>64</v>
      </c>
      <c r="G23" s="68" t="s">
        <v>65</v>
      </c>
    </row>
    <row r="24" spans="1:7" x14ac:dyDescent="0.3">
      <c r="A24" s="65" t="str">
        <f>CLASSIC!A19</f>
        <v>Rede Regularizador</v>
      </c>
      <c r="B24" s="62" t="str">
        <f>CLASSIC!B19</f>
        <v>FASSANET 160</v>
      </c>
      <c r="E24" s="99">
        <f>CLASSIC!D19</f>
        <v>1.8295200000000003</v>
      </c>
      <c r="F24" s="63">
        <f>CLASSIC!E19</f>
        <v>0.55000000000000004</v>
      </c>
      <c r="G24" s="99">
        <f>CLASSIC!F19</f>
        <v>0.82328400000000002</v>
      </c>
    </row>
    <row r="25" spans="1:7" x14ac:dyDescent="0.3">
      <c r="A25" s="65" t="str">
        <f>CLASSIC!A21</f>
        <v>Fixação Mecânica</v>
      </c>
      <c r="B25" s="62" t="str">
        <f>CLASSIC!B21</f>
        <v>FASSA BASE FIX</v>
      </c>
      <c r="C25" s="64">
        <f>CLASSIC!B22</f>
        <v>90</v>
      </c>
      <c r="E25" s="100">
        <f>CLASSIC!D21</f>
        <v>1.62</v>
      </c>
      <c r="F25" s="63">
        <f>CLASSIC!E21</f>
        <v>0.55000000000000004</v>
      </c>
      <c r="G25" s="100">
        <f>CLASSIC!F21</f>
        <v>0.72899999999999998</v>
      </c>
    </row>
    <row r="26" spans="1:7" x14ac:dyDescent="0.3">
      <c r="A26" s="65" t="str">
        <f>CLASSIC!A29</f>
        <v>Perfil de Arranque</v>
      </c>
      <c r="B26" s="62" t="str">
        <f>CLASSIC!B29</f>
        <v>ALUMÍNIO</v>
      </c>
      <c r="C26" s="98">
        <f>CLASSIC!B30</f>
        <v>60</v>
      </c>
      <c r="E26" s="101">
        <f>CLASSIC!D29</f>
        <v>6.0060000000000002</v>
      </c>
      <c r="F26" s="63">
        <f>CLASSIC!E29</f>
        <v>0</v>
      </c>
      <c r="G26" s="101">
        <f>CLASSIC!F29</f>
        <v>6.0060000000000002</v>
      </c>
    </row>
    <row r="27" spans="1:7" x14ac:dyDescent="0.3">
      <c r="A27" s="65" t="str">
        <f>CLASSIC!A33</f>
        <v>Perfil de Canto</v>
      </c>
      <c r="B27" s="62"/>
      <c r="E27" s="101">
        <f>CLASSIC!D33</f>
        <v>1.9440000000000002</v>
      </c>
      <c r="F27" s="63">
        <f>CLASSIC!E33</f>
        <v>0</v>
      </c>
      <c r="G27" s="101">
        <f>CLASSIC!F33</f>
        <v>1.9440000000000002</v>
      </c>
    </row>
    <row r="28" spans="1:7" x14ac:dyDescent="0.3">
      <c r="A28" s="65" t="str">
        <f>CLASSIC!A34</f>
        <v>Perfil de Canto com Goteira</v>
      </c>
      <c r="B28" s="62"/>
      <c r="E28" s="101">
        <f>CLASSIC!D34</f>
        <v>5.04</v>
      </c>
      <c r="F28" s="63">
        <f>CLASSIC!E34</f>
        <v>0</v>
      </c>
      <c r="G28" s="101">
        <f>CLASSIC!F34</f>
        <v>5.04</v>
      </c>
    </row>
    <row r="29" spans="1:7" x14ac:dyDescent="0.3">
      <c r="A29" s="65" t="str">
        <f>CLASSIC!A35</f>
        <v>Perfil Junta de Dilatação</v>
      </c>
      <c r="B29" s="62"/>
      <c r="E29" s="101">
        <f>CLASSIC!D35</f>
        <v>18.16</v>
      </c>
      <c r="F29" s="63">
        <f>CLASSIC!E35</f>
        <v>0</v>
      </c>
      <c r="G29" s="101">
        <f>CLASSIC!F35</f>
        <v>18.16</v>
      </c>
    </row>
    <row r="30" spans="1:7" ht="15" thickBot="1" x14ac:dyDescent="0.35">
      <c r="A30" s="65" t="str">
        <f>CLASSIC!A36</f>
        <v>Rede de Reforço</v>
      </c>
      <c r="B30" s="62" t="str">
        <f>CLASSIC!B36</f>
        <v>FASSANET 370</v>
      </c>
      <c r="E30" s="99">
        <f>CLASSIC!D36</f>
        <v>4</v>
      </c>
      <c r="F30" s="63">
        <f>CLASSIC!E36</f>
        <v>0</v>
      </c>
      <c r="G30" s="99">
        <f>CLASSIC!F36</f>
        <v>4</v>
      </c>
    </row>
    <row r="31" spans="1:7" ht="15" thickBot="1" x14ac:dyDescent="0.35">
      <c r="B31" s="62"/>
      <c r="F31" s="70" t="s">
        <v>121</v>
      </c>
      <c r="G31" s="151">
        <f>SUM(G24:G30)</f>
        <v>36.702284000000006</v>
      </c>
    </row>
    <row r="32" spans="1:7" ht="15" thickBot="1" x14ac:dyDescent="0.35">
      <c r="A32" s="62"/>
      <c r="B32" s="62"/>
      <c r="C32" s="62"/>
      <c r="D32" s="62"/>
      <c r="E32" s="62"/>
      <c r="F32" s="70" t="s">
        <v>104</v>
      </c>
      <c r="G32" s="151">
        <f>CLASSIC!K38</f>
        <v>1858.65</v>
      </c>
    </row>
    <row r="33" spans="1:7" ht="15" thickBot="1" x14ac:dyDescent="0.35">
      <c r="A33" s="62"/>
      <c r="B33" s="62"/>
      <c r="C33" s="62"/>
      <c r="D33" s="62"/>
      <c r="E33" s="62"/>
      <c r="F33" s="62"/>
      <c r="G33" s="62"/>
    </row>
    <row r="34" spans="1:7" ht="18" thickBot="1" x14ac:dyDescent="0.35">
      <c r="A34" s="265" t="s">
        <v>106</v>
      </c>
      <c r="B34" s="266"/>
      <c r="C34" s="266"/>
      <c r="D34" s="266"/>
      <c r="E34" s="266"/>
      <c r="F34" s="263">
        <f>SUM(G31,G18)</f>
        <v>55.395318000000003</v>
      </c>
      <c r="G34" s="264"/>
    </row>
    <row r="35" spans="1:7" ht="16.2" thickBot="1" x14ac:dyDescent="0.35">
      <c r="A35" s="265" t="s">
        <v>105</v>
      </c>
      <c r="B35" s="266"/>
      <c r="C35" s="266"/>
      <c r="D35" s="266"/>
      <c r="E35" s="266"/>
      <c r="F35" s="263">
        <f>SUM(G32,G19)</f>
        <v>1877.343034</v>
      </c>
      <c r="G35" s="264"/>
    </row>
    <row r="36" spans="1:7" x14ac:dyDescent="0.3">
      <c r="A36" s="62"/>
      <c r="B36" s="62"/>
      <c r="C36" s="62"/>
      <c r="D36" s="62"/>
      <c r="E36" s="62"/>
      <c r="F36" s="62"/>
      <c r="G36" s="62"/>
    </row>
    <row r="37" spans="1:7" x14ac:dyDescent="0.3">
      <c r="A37" s="62"/>
      <c r="B37" s="62"/>
      <c r="C37" s="62"/>
      <c r="D37" s="62"/>
      <c r="E37" s="62"/>
      <c r="F37" s="62"/>
      <c r="G37" s="62"/>
    </row>
    <row r="38" spans="1:7" x14ac:dyDescent="0.3">
      <c r="A38" s="62"/>
      <c r="B38" s="62"/>
      <c r="C38" s="62"/>
      <c r="D38" s="62"/>
      <c r="E38" s="62"/>
      <c r="F38" s="62"/>
      <c r="G38" s="62"/>
    </row>
    <row r="39" spans="1:7" x14ac:dyDescent="0.3">
      <c r="A39" s="62"/>
      <c r="B39" s="62"/>
      <c r="C39" s="62"/>
      <c r="D39" s="62"/>
      <c r="E39" s="62"/>
      <c r="F39" s="62"/>
      <c r="G39" s="62"/>
    </row>
    <row r="40" spans="1:7" x14ac:dyDescent="0.3">
      <c r="A40" s="62"/>
      <c r="B40" s="62"/>
      <c r="C40" s="62"/>
      <c r="D40" s="62"/>
      <c r="E40" s="62"/>
      <c r="F40" s="62"/>
      <c r="G40" s="62"/>
    </row>
    <row r="41" spans="1:7" x14ac:dyDescent="0.3">
      <c r="A41" s="102" t="s">
        <v>87</v>
      </c>
      <c r="B41" s="62"/>
      <c r="C41" s="62"/>
      <c r="D41" s="62"/>
      <c r="E41" s="62"/>
      <c r="F41" s="62"/>
      <c r="G41" s="62"/>
    </row>
    <row r="42" spans="1:7" x14ac:dyDescent="0.3">
      <c r="A42" s="102" t="s">
        <v>88</v>
      </c>
      <c r="B42" s="62"/>
      <c r="C42" s="62"/>
      <c r="D42" s="62"/>
      <c r="E42" s="62"/>
      <c r="F42" s="62"/>
      <c r="G42" s="62"/>
    </row>
    <row r="43" spans="1:7" x14ac:dyDescent="0.3">
      <c r="A43" s="102" t="s">
        <v>89</v>
      </c>
      <c r="B43" s="62"/>
      <c r="C43" s="62"/>
      <c r="D43" s="62"/>
      <c r="E43" s="62"/>
      <c r="F43" s="62"/>
      <c r="G43" s="62"/>
    </row>
    <row r="44" spans="1:7" x14ac:dyDescent="0.3">
      <c r="A44" s="102" t="s">
        <v>97</v>
      </c>
      <c r="B44" s="62"/>
      <c r="C44" s="62"/>
      <c r="D44" s="62"/>
      <c r="E44" s="62"/>
      <c r="F44" s="62"/>
      <c r="G44" s="62"/>
    </row>
    <row r="45" spans="1:7" x14ac:dyDescent="0.3">
      <c r="A45" s="62"/>
      <c r="B45" s="62"/>
      <c r="C45" s="62"/>
      <c r="D45" s="62"/>
      <c r="E45" s="62"/>
      <c r="F45" s="62"/>
      <c r="G45" s="62"/>
    </row>
    <row r="46" spans="1:7" x14ac:dyDescent="0.3">
      <c r="A46" s="62"/>
      <c r="B46" s="62"/>
      <c r="C46" s="62"/>
      <c r="D46" s="62"/>
      <c r="E46" s="62"/>
      <c r="F46" s="62"/>
      <c r="G46" s="62"/>
    </row>
    <row r="47" spans="1:7" x14ac:dyDescent="0.3">
      <c r="G47" s="69"/>
    </row>
  </sheetData>
  <sheetProtection algorithmName="SHA-512" hashValue="T1PalDrTH0kLBXKqvdY0D8p+eHqAS3bmKJsNDCkmIenj3HkA35pNMqj2merZI/iFJIFCQZsZphpBWwZm7Hjdwg==" saltValue="hHb0dwC8uKUN0iLmLAqDjg==" spinCount="100000" sheet="1" objects="1" scenarios="1"/>
  <protectedRanges>
    <protectedRange sqref="A6:A9 F4:F6 G9" name="Intervalo4"/>
  </protectedRanges>
  <mergeCells count="6">
    <mergeCell ref="F35:G35"/>
    <mergeCell ref="A34:E34"/>
    <mergeCell ref="A35:E35"/>
    <mergeCell ref="C12:D12"/>
    <mergeCell ref="C23:D23"/>
    <mergeCell ref="F34:G34"/>
  </mergeCells>
  <hyperlinks>
    <hyperlink ref="A9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zoomScale="90" zoomScaleNormal="90" workbookViewId="0">
      <selection activeCell="F24" sqref="F24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</v>
      </c>
      <c r="I2" s="164"/>
    </row>
    <row r="3" spans="1:11" ht="18" customHeight="1" thickBot="1" x14ac:dyDescent="0.35">
      <c r="C3" s="274" t="s">
        <v>110</v>
      </c>
      <c r="D3" s="275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162</v>
      </c>
      <c r="C5" s="303" t="s">
        <v>70</v>
      </c>
      <c r="D5" s="305">
        <f>VLOOKUP(Folha3!O13,Folha3!A4:F64,6,FALSE)</f>
        <v>18</v>
      </c>
      <c r="E5" s="278">
        <v>0.5</v>
      </c>
      <c r="F5" s="306">
        <f>D5*(1-E5)</f>
        <v>9</v>
      </c>
      <c r="G5" s="74"/>
      <c r="H5" s="307">
        <f>VLOOKUP(Folha3!O13,Folha3!A5:F64,4,FALSE)</f>
        <v>3.6</v>
      </c>
      <c r="I5" s="309">
        <f>CEILING(C2/(VLOOKUP(Folha3!O13,Folha3!A5:F64,4,FALSE)),1)</f>
        <v>1</v>
      </c>
      <c r="J5" s="284">
        <f>(VLOOKUP(Folha3!O13,Folha3!A5:F64,5,FALSE))*(1-E5)</f>
        <v>32.4</v>
      </c>
      <c r="K5" s="286">
        <f>(I5*J5)</f>
        <v>32.4</v>
      </c>
    </row>
    <row r="6" spans="1:11" ht="15" customHeight="1" thickBot="1" x14ac:dyDescent="0.35">
      <c r="A6" s="145" t="s">
        <v>0</v>
      </c>
      <c r="B6" s="82">
        <v>4</v>
      </c>
      <c r="C6" s="304"/>
      <c r="D6" s="296"/>
      <c r="E6" s="279"/>
      <c r="F6" s="298"/>
      <c r="G6" s="80"/>
      <c r="H6" s="308"/>
      <c r="I6" s="310"/>
      <c r="J6" s="288"/>
      <c r="K6" s="276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0.55000000000000004</v>
      </c>
      <c r="F8" s="108">
        <f>D8*(1-E8)</f>
        <v>1.5088499999999998</v>
      </c>
      <c r="G8" s="80"/>
      <c r="H8" s="165">
        <v>25</v>
      </c>
      <c r="I8" s="158">
        <f>CEILING((C2*C8)/25,1)</f>
        <v>1</v>
      </c>
      <c r="J8" s="107">
        <f>(VLOOKUP(B8,Folha3!H3:M8,3,FALSE))*(1-E8)</f>
        <v>10.777499999999998</v>
      </c>
      <c r="K8" s="167">
        <f>(I8*J8)</f>
        <v>10.777499999999998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102</v>
      </c>
      <c r="C10" s="189">
        <v>7</v>
      </c>
      <c r="D10" s="105">
        <f>C10*VLOOKUP(B10,Folha3!H11:M17,4,FALSE)</f>
        <v>5.194</v>
      </c>
      <c r="E10" s="84">
        <v>0.55000000000000004</v>
      </c>
      <c r="F10" s="108">
        <f>D10*(1-E10)</f>
        <v>2.3372999999999999</v>
      </c>
      <c r="G10" s="80"/>
      <c r="H10" s="165">
        <v>25</v>
      </c>
      <c r="I10" s="158">
        <f>CEILING((C2*C10)/25,1)</f>
        <v>1</v>
      </c>
      <c r="J10" s="107">
        <f>(VLOOKUP(B8,Folha3!H11:M17,3,FALSE))*(1-E10)</f>
        <v>10.777499999999998</v>
      </c>
      <c r="K10" s="167">
        <f>(I10*J10)</f>
        <v>10.777499999999998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12</v>
      </c>
      <c r="B12" s="81" t="s">
        <v>17</v>
      </c>
      <c r="C12" s="300">
        <f>IF(B12=Folha3!H21,0.04,0.12)</f>
        <v>0.12</v>
      </c>
      <c r="D12" s="296">
        <f>(IF(B12=Folha3!O22,Folha3!L21,IF(CLASSIC!B12=Folha3!O24,Folha3!L26,IF(CLASSIC!B12=Folha3!O25,Folha3!L27,IF(CLASSIC!B12=Folha3!O26,Folha3!L28,IF(CLASSIC!B12=Folha3!O23,IF(CLASSIC!B13=Folha3!I22,Folha3!L22,IF(CLASSIC!B13=Folha3!I23,Folha3!L23,IF(CLASSIC!B13=Folha3!I24,Folha3!L24,IF(B13=Folha3!I25,Folha3!L25,0)))),0)))))*C12)</f>
        <v>0.64919999999999989</v>
      </c>
      <c r="E12" s="278">
        <v>0.5</v>
      </c>
      <c r="F12" s="298">
        <f>D12*(1-E12)</f>
        <v>0.32459999999999994</v>
      </c>
      <c r="G12" s="80"/>
      <c r="H12" s="301">
        <f>(IF(B12=Folha3!H21,Folha3!J21,IF(B12=Folha3!O23,Folha3!J22,IF(B12=Folha3!O24,Folha3!J26,IF(B12=Folha3!O25,Folha3!J27,IF(B12=Folha3!O26,Folha3!J28,0))))))</f>
        <v>14</v>
      </c>
      <c r="I12" s="289">
        <f>CEILING((C2*C12)/(IF(B12=Folha3!H21,Folha3!J21,IF(B12=Folha3!O23,Folha3!J22,IF(B12=Folha3!O24,Folha3!J26,IF(B12=Folha3!O25,Folha3!J27,IF(B12=Folha3!O26,Folha3!J28,0)))))),1)</f>
        <v>1</v>
      </c>
      <c r="J12" s="288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37.869999999999997</v>
      </c>
      <c r="K12" s="276">
        <f>(I12*J12)</f>
        <v>37.869999999999997</v>
      </c>
    </row>
    <row r="13" spans="1:11" ht="15" customHeight="1" thickBot="1" x14ac:dyDescent="0.35">
      <c r="A13" s="145" t="s">
        <v>30</v>
      </c>
      <c r="B13" s="81" t="s">
        <v>31</v>
      </c>
      <c r="C13" s="300"/>
      <c r="D13" s="296"/>
      <c r="E13" s="279"/>
      <c r="F13" s="298"/>
      <c r="G13" s="80"/>
      <c r="H13" s="301"/>
      <c r="I13" s="289"/>
      <c r="J13" s="288"/>
      <c r="K13" s="276"/>
    </row>
    <row r="14" spans="1:11" ht="5.0999999999999996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3" t="s">
        <v>22</v>
      </c>
      <c r="B15" s="81" t="s">
        <v>24</v>
      </c>
      <c r="C15" s="311">
        <f>VLOOKUP(Folha3!P48,Folha3!G31:Q114,8,FALSE)</f>
        <v>2</v>
      </c>
      <c r="D15" s="296">
        <f>(VLOOKUP(Folha3!P48,Folha3!G32:Q114,6,FALSE))*CLASSIC!C15</f>
        <v>7.94</v>
      </c>
      <c r="E15" s="278">
        <v>0.5</v>
      </c>
      <c r="F15" s="298">
        <f>D15*(1-E15)</f>
        <v>3.97</v>
      </c>
      <c r="G15" s="80"/>
      <c r="H15" s="313">
        <v>25</v>
      </c>
      <c r="I15" s="289">
        <f>CEILING((C2*C15)/25,1)</f>
        <v>1</v>
      </c>
      <c r="J15" s="288">
        <f>(VLOOKUP(Folha3!P48,Folha3!G32:O115,5,FALSE))*(1-E15)</f>
        <v>49.625</v>
      </c>
      <c r="K15" s="276">
        <f>(I15*J15)</f>
        <v>49.625</v>
      </c>
    </row>
    <row r="16" spans="1:11" ht="15" customHeight="1" thickBot="1" x14ac:dyDescent="0.35">
      <c r="A16" s="145" t="s">
        <v>30</v>
      </c>
      <c r="B16" s="81" t="s">
        <v>31</v>
      </c>
      <c r="C16" s="311"/>
      <c r="D16" s="296"/>
      <c r="E16" s="312"/>
      <c r="F16" s="298"/>
      <c r="G16" s="74"/>
      <c r="H16" s="313"/>
      <c r="I16" s="289"/>
      <c r="J16" s="288"/>
      <c r="K16" s="276"/>
    </row>
    <row r="17" spans="1:11" ht="15" customHeight="1" thickBot="1" x14ac:dyDescent="0.35">
      <c r="A17" s="145" t="s">
        <v>29</v>
      </c>
      <c r="B17" s="83">
        <v>1</v>
      </c>
      <c r="C17" s="311"/>
      <c r="D17" s="296"/>
      <c r="E17" s="279"/>
      <c r="F17" s="298"/>
      <c r="G17" s="134"/>
      <c r="H17" s="313"/>
      <c r="I17" s="289"/>
      <c r="J17" s="288"/>
      <c r="K17" s="276"/>
    </row>
    <row r="18" spans="1:11" ht="5.0999999999999996" customHeight="1" thickBot="1" x14ac:dyDescent="0.35">
      <c r="A18" s="138"/>
      <c r="B18" s="79"/>
      <c r="C18" s="79"/>
      <c r="D18" s="135"/>
      <c r="E18" s="77"/>
      <c r="F18" s="77"/>
      <c r="G18" s="136"/>
      <c r="H18" s="136"/>
      <c r="I18" s="136"/>
      <c r="J18" s="136"/>
      <c r="K18" s="169"/>
    </row>
    <row r="19" spans="1:11" ht="15" customHeight="1" thickBot="1" x14ac:dyDescent="0.35">
      <c r="A19" s="144" t="s">
        <v>52</v>
      </c>
      <c r="B19" s="81" t="s">
        <v>53</v>
      </c>
      <c r="C19" s="141">
        <v>1.1000000000000001</v>
      </c>
      <c r="D19" s="140">
        <f>((VLOOKUP(B19,Folha3!B143:C144,2))/50)*1.1</f>
        <v>1.8295200000000003</v>
      </c>
      <c r="E19" s="84">
        <v>0.55000000000000004</v>
      </c>
      <c r="F19" s="163">
        <f>D19*(1-E19)</f>
        <v>0.82328400000000002</v>
      </c>
      <c r="G19" s="149"/>
      <c r="H19" s="106" t="s">
        <v>100</v>
      </c>
      <c r="I19" s="160">
        <f>CEILING((C2*1.1)/50,1)</f>
        <v>1</v>
      </c>
      <c r="J19" s="107">
        <f>((VLOOKUP(B19,Folha3!B143:C144,2)*(1-E19)))</f>
        <v>37.421999999999997</v>
      </c>
      <c r="K19" s="167">
        <f>J19*I19</f>
        <v>37.421999999999997</v>
      </c>
    </row>
    <row r="20" spans="1:11" ht="5.0999999999999996" customHeight="1" thickBot="1" x14ac:dyDescent="0.35">
      <c r="A20" s="139"/>
      <c r="B20" s="137"/>
      <c r="C20" s="137"/>
      <c r="D20" s="136"/>
      <c r="E20" s="136"/>
      <c r="F20" s="136"/>
      <c r="G20" s="136"/>
      <c r="H20" s="136"/>
      <c r="I20" s="136"/>
      <c r="J20" s="136"/>
      <c r="K20" s="169"/>
    </row>
    <row r="21" spans="1:11" ht="15.6" thickBot="1" x14ac:dyDescent="0.35">
      <c r="A21" s="143" t="s">
        <v>136</v>
      </c>
      <c r="B21" s="94" t="s">
        <v>54</v>
      </c>
      <c r="C21" s="294">
        <v>6</v>
      </c>
      <c r="D21" s="296">
        <f>(VLOOKUP(Folha3!B111,Folha3!A66:F101,6,FALSE))*C21</f>
        <v>1.62</v>
      </c>
      <c r="E21" s="278">
        <v>0.55000000000000004</v>
      </c>
      <c r="F21" s="298">
        <f>D21*(1-E21)</f>
        <v>0.72899999999999998</v>
      </c>
      <c r="G21" s="92"/>
      <c r="H21" s="289">
        <f>VLOOKUP(Folha3!B111,Folha3!A66:F101,4,FALSE)</f>
        <v>200</v>
      </c>
      <c r="I21" s="291">
        <f>CEILING((C2*C21)/(IF(B21=Folha3!B105,200,100)),1)</f>
        <v>1</v>
      </c>
      <c r="J21" s="288">
        <f>((VLOOKUP(Folha3!B111,Folha3!A66:F101,5,FALSE)))*(1-E21)</f>
        <v>24.299999999999997</v>
      </c>
      <c r="K21" s="276">
        <f>(I21*J21)</f>
        <v>24.299999999999997</v>
      </c>
    </row>
    <row r="22" spans="1:11" ht="15.75" customHeight="1" thickBot="1" x14ac:dyDescent="0.35">
      <c r="A22" s="142" t="s">
        <v>57</v>
      </c>
      <c r="B22" s="152">
        <v>90</v>
      </c>
      <c r="C22" s="295"/>
      <c r="D22" s="297"/>
      <c r="E22" s="279"/>
      <c r="F22" s="299"/>
      <c r="G22" s="150"/>
      <c r="H22" s="290"/>
      <c r="I22" s="292"/>
      <c r="J22" s="293"/>
      <c r="K22" s="277"/>
    </row>
    <row r="23" spans="1:11" ht="5.0999999999999996" customHeight="1" x14ac:dyDescent="0.3"/>
    <row r="24" spans="1:11" ht="15" customHeight="1" thickBot="1" x14ac:dyDescent="0.35">
      <c r="B24" s="56"/>
      <c r="C24" s="56"/>
      <c r="D24" s="55"/>
      <c r="E24" s="57" t="s">
        <v>51</v>
      </c>
      <c r="F24" s="170">
        <f>SUM(F5,F8,F10,F12,F15,F19,F21)</f>
        <v>18.693033999999997</v>
      </c>
      <c r="K24" s="57"/>
    </row>
    <row r="25" spans="1:11" ht="13.5" customHeight="1" x14ac:dyDescent="0.3">
      <c r="B25" s="56"/>
      <c r="C25" s="56"/>
      <c r="D25" s="55"/>
      <c r="E25" s="112" t="s">
        <v>82</v>
      </c>
      <c r="F25" s="302">
        <f>F24*C2</f>
        <v>18.693033999999997</v>
      </c>
    </row>
    <row r="26" spans="1:11" ht="12.75" customHeight="1" thickBot="1" x14ac:dyDescent="0.35">
      <c r="B26" s="56"/>
      <c r="C26" s="56"/>
      <c r="D26" s="55"/>
      <c r="E26" s="109" t="s">
        <v>85</v>
      </c>
      <c r="F26" s="302"/>
    </row>
    <row r="27" spans="1:11" ht="15" customHeight="1" thickBot="1" x14ac:dyDescent="0.35">
      <c r="A27" s="130" t="s">
        <v>45</v>
      </c>
    </row>
    <row r="28" spans="1:11" ht="15" customHeight="1" thickBot="1" x14ac:dyDescent="0.35">
      <c r="A28" s="119" t="s">
        <v>42</v>
      </c>
      <c r="B28" s="114" t="s">
        <v>41</v>
      </c>
      <c r="C28" s="114" t="s">
        <v>91</v>
      </c>
      <c r="D28" s="114" t="s">
        <v>56</v>
      </c>
      <c r="E28" s="114" t="s">
        <v>64</v>
      </c>
      <c r="F28" s="114" t="s">
        <v>65</v>
      </c>
      <c r="G28" s="121"/>
      <c r="H28" s="120" t="s">
        <v>98</v>
      </c>
      <c r="I28" s="120" t="s">
        <v>91</v>
      </c>
      <c r="J28" s="114" t="s">
        <v>92</v>
      </c>
      <c r="K28" s="117" t="s">
        <v>99</v>
      </c>
    </row>
    <row r="29" spans="1:11" ht="16.2" thickBot="1" x14ac:dyDescent="0.35">
      <c r="A29" s="123" t="s">
        <v>46</v>
      </c>
      <c r="B29" s="95" t="s">
        <v>59</v>
      </c>
      <c r="C29" s="268">
        <v>50</v>
      </c>
      <c r="D29" s="270">
        <f>VLOOKUP(Folha3!B135,Folha3!A114:F128,6,FALSE)</f>
        <v>6.0060000000000002</v>
      </c>
      <c r="E29" s="278">
        <v>0</v>
      </c>
      <c r="F29" s="280">
        <f>D29*(1-E29)</f>
        <v>6.0060000000000002</v>
      </c>
      <c r="G29" s="93"/>
      <c r="H29" s="272">
        <v>2.5</v>
      </c>
      <c r="I29" s="282">
        <f>_xlfn.CEILING.MATH(IF(Folha3!D132=25,CLASSIC!C29/25,CLASSIC!C29/2.5),1,1)</f>
        <v>2</v>
      </c>
      <c r="J29" s="284">
        <f>(VLOOKUP(Folha3!B135,Folha3!A114:F128,5,FALSE))*(1-E29)</f>
        <v>150.15</v>
      </c>
      <c r="K29" s="286">
        <f>J29*I29</f>
        <v>300.3</v>
      </c>
    </row>
    <row r="30" spans="1:11" ht="16.2" thickBot="1" x14ac:dyDescent="0.35">
      <c r="A30" s="174" t="s">
        <v>0</v>
      </c>
      <c r="B30" s="96">
        <v>60</v>
      </c>
      <c r="C30" s="269"/>
      <c r="D30" s="271"/>
      <c r="E30" s="279"/>
      <c r="F30" s="281"/>
      <c r="G30" s="93"/>
      <c r="H30" s="273"/>
      <c r="I30" s="283"/>
      <c r="J30" s="285"/>
      <c r="K30" s="287"/>
    </row>
    <row r="31" spans="1:11" ht="16.2" thickBot="1" x14ac:dyDescent="0.35">
      <c r="A31" s="123" t="s">
        <v>111</v>
      </c>
      <c r="B31" s="96" t="s">
        <v>118</v>
      </c>
      <c r="C31" s="180">
        <v>50</v>
      </c>
      <c r="D31" s="173">
        <f>IF(B31=Folha3!B137,Folha3!F137/2,IF(CLASSIC!B31=Folha3!B138,Folha3!F138/2,IF(CLASSIC!B31=Folha3!B139,Folha3!F139/2,0)))</f>
        <v>9.9149999999999991</v>
      </c>
      <c r="E31" s="84">
        <v>0</v>
      </c>
      <c r="F31" s="89">
        <f t="shared" ref="F31:F36" si="0">D31*(1-E31)</f>
        <v>9.9149999999999991</v>
      </c>
      <c r="G31" s="93"/>
      <c r="H31" s="181">
        <f>IF(B31=Folha3!B137,Folha3!D137*2,IF(B31=Folha3!B138,Folha3!D138*2,IF(B31=Folha3!B139,Folha3!D139*2,0)))</f>
        <v>10</v>
      </c>
      <c r="I31" s="172">
        <f>CEILING(C31/H31,1)</f>
        <v>5</v>
      </c>
      <c r="J31" s="182">
        <f>IF(B31=Folha3!B137,Folha3!E137,IF(B31=Folha3!B138,Folha3!E138,IF(B31=Folha3!B139,Folha3!E139,0)))*(1-E30)</f>
        <v>99.149999999999991</v>
      </c>
      <c r="K31" s="122">
        <f t="shared" ref="K31:K36" si="1">J31*I31</f>
        <v>495.74999999999994</v>
      </c>
    </row>
    <row r="32" spans="1:11" ht="16.2" thickBot="1" x14ac:dyDescent="0.35">
      <c r="A32" s="123" t="s">
        <v>112</v>
      </c>
      <c r="B32" s="177" t="s">
        <v>109</v>
      </c>
      <c r="C32" s="191">
        <v>4</v>
      </c>
      <c r="D32" s="173">
        <f>4.3*C32</f>
        <v>17.2</v>
      </c>
      <c r="E32" s="84">
        <v>0</v>
      </c>
      <c r="F32" s="89">
        <f t="shared" si="0"/>
        <v>17.2</v>
      </c>
      <c r="G32" s="93"/>
      <c r="H32" s="175">
        <v>35.75</v>
      </c>
      <c r="I32" s="176">
        <f>CEILING(C32*C31/H32,1)</f>
        <v>6</v>
      </c>
      <c r="J32" s="182">
        <f>102.5*(1-E31)</f>
        <v>102.5</v>
      </c>
      <c r="K32" s="122">
        <f t="shared" si="1"/>
        <v>615</v>
      </c>
    </row>
    <row r="33" spans="1:11" ht="15" thickBot="1" x14ac:dyDescent="0.35">
      <c r="A33" s="123" t="s">
        <v>47</v>
      </c>
      <c r="B33" s="95" t="s">
        <v>126</v>
      </c>
      <c r="C33" s="111">
        <v>50</v>
      </c>
      <c r="D33" s="90">
        <f>(VLOOKUP(B33,Folha3!B147:C151,2,FALSE)/2.5)</f>
        <v>1.9440000000000002</v>
      </c>
      <c r="E33" s="84">
        <v>0</v>
      </c>
      <c r="F33" s="89">
        <f t="shared" si="0"/>
        <v>1.9440000000000002</v>
      </c>
      <c r="G33" s="78"/>
      <c r="H33" s="162">
        <v>2.5</v>
      </c>
      <c r="I33" s="132">
        <f>CEILING(C33/2.5,1)</f>
        <v>20</v>
      </c>
      <c r="J33" s="182">
        <f>(VLOOKUP(B33,Folha3!B147:C151,2,FALSE)*(1-E33))</f>
        <v>4.8600000000000003</v>
      </c>
      <c r="K33" s="122">
        <f t="shared" si="1"/>
        <v>97.2</v>
      </c>
    </row>
    <row r="34" spans="1:11" ht="15" thickBot="1" x14ac:dyDescent="0.35">
      <c r="A34" s="123" t="s">
        <v>48</v>
      </c>
      <c r="B34" s="91"/>
      <c r="C34" s="111">
        <v>10</v>
      </c>
      <c r="D34" s="90">
        <f>12.6/2.5</f>
        <v>5.04</v>
      </c>
      <c r="E34" s="84">
        <v>0</v>
      </c>
      <c r="F34" s="89">
        <f t="shared" si="0"/>
        <v>5.04</v>
      </c>
      <c r="G34" s="78"/>
      <c r="H34" s="162">
        <v>2.5</v>
      </c>
      <c r="I34" s="131">
        <f>CEILING(C34/2.5,1)</f>
        <v>4</v>
      </c>
      <c r="J34" s="182">
        <f>12.6*(1-E34)</f>
        <v>12.6</v>
      </c>
      <c r="K34" s="122">
        <f t="shared" si="1"/>
        <v>50.4</v>
      </c>
    </row>
    <row r="35" spans="1:11" ht="15" thickBot="1" x14ac:dyDescent="0.35">
      <c r="A35" s="123" t="s">
        <v>50</v>
      </c>
      <c r="B35" s="91"/>
      <c r="C35" s="111">
        <v>0</v>
      </c>
      <c r="D35" s="90">
        <f>45.4/2.5</f>
        <v>18.16</v>
      </c>
      <c r="E35" s="84">
        <v>0</v>
      </c>
      <c r="F35" s="89">
        <f t="shared" si="0"/>
        <v>18.16</v>
      </c>
      <c r="G35" s="78"/>
      <c r="H35" s="162">
        <v>2.5</v>
      </c>
      <c r="I35" s="132">
        <f>CEILING(C35/2.5,1)</f>
        <v>0</v>
      </c>
      <c r="J35" s="182">
        <f>45.4*(1-E35)</f>
        <v>45.4</v>
      </c>
      <c r="K35" s="122">
        <f t="shared" si="1"/>
        <v>0</v>
      </c>
    </row>
    <row r="36" spans="1:11" ht="15" thickBot="1" x14ac:dyDescent="0.35">
      <c r="A36" s="124" t="s">
        <v>68</v>
      </c>
      <c r="B36" s="125" t="s">
        <v>63</v>
      </c>
      <c r="C36" s="111">
        <v>50</v>
      </c>
      <c r="D36" s="126">
        <f>300/(1.5*50)</f>
        <v>4</v>
      </c>
      <c r="E36" s="84">
        <v>0</v>
      </c>
      <c r="F36" s="127">
        <f t="shared" si="0"/>
        <v>4</v>
      </c>
      <c r="G36" s="128"/>
      <c r="H36" s="161" t="s">
        <v>100</v>
      </c>
      <c r="I36" s="133">
        <f>CEILING((C36/50),1)</f>
        <v>1</v>
      </c>
      <c r="J36" s="185">
        <f>300*(1-E36)</f>
        <v>300</v>
      </c>
      <c r="K36" s="118">
        <f t="shared" si="1"/>
        <v>300</v>
      </c>
    </row>
    <row r="37" spans="1:11" ht="5.0999999999999996" customHeight="1" x14ac:dyDescent="0.3"/>
    <row r="38" spans="1:11" ht="15" thickBot="1" x14ac:dyDescent="0.35">
      <c r="J38" s="57" t="s">
        <v>93</v>
      </c>
      <c r="K38" s="170">
        <f>SUM(K29:K36)</f>
        <v>1858.65</v>
      </c>
    </row>
    <row r="39" spans="1:11" x14ac:dyDescent="0.3">
      <c r="B39" s="47"/>
      <c r="C39" s="47"/>
      <c r="J39" s="112" t="s">
        <v>82</v>
      </c>
      <c r="K39" s="302">
        <f>SUM(K38,F25)</f>
        <v>1877.343034</v>
      </c>
    </row>
    <row r="40" spans="1:11" ht="11.25" customHeight="1" x14ac:dyDescent="0.3">
      <c r="J40" s="109" t="s">
        <v>95</v>
      </c>
      <c r="K40" s="302"/>
    </row>
    <row r="42" spans="1:11" x14ac:dyDescent="0.3">
      <c r="A42" s="49"/>
      <c r="B42" s="51"/>
      <c r="C42" s="51"/>
      <c r="D42" s="49"/>
      <c r="E42" s="49"/>
      <c r="F42" s="49"/>
      <c r="G42" s="49"/>
      <c r="H42" s="49"/>
      <c r="I42" s="49"/>
      <c r="J42" s="49"/>
    </row>
    <row r="43" spans="1:11" x14ac:dyDescent="0.3">
      <c r="A43" s="49"/>
      <c r="B43" s="51"/>
      <c r="C43" s="51"/>
      <c r="D43" s="49"/>
      <c r="E43" s="49"/>
      <c r="F43" s="49"/>
      <c r="G43" s="49"/>
      <c r="H43" s="49"/>
      <c r="I43" s="49"/>
      <c r="J43" s="49"/>
    </row>
    <row r="44" spans="1:11" x14ac:dyDescent="0.3">
      <c r="A44" s="49"/>
      <c r="B44" s="51"/>
      <c r="C44" s="51"/>
      <c r="D44" s="49"/>
      <c r="E44" s="49"/>
      <c r="F44" s="49"/>
      <c r="G44" s="49"/>
      <c r="H44" s="49"/>
      <c r="I44" s="49"/>
      <c r="J44" s="49"/>
    </row>
    <row r="45" spans="1:11" x14ac:dyDescent="0.3">
      <c r="A45" s="48"/>
      <c r="B45" s="52"/>
      <c r="C45" s="52"/>
      <c r="D45" s="48"/>
      <c r="E45" s="48"/>
      <c r="F45" s="48"/>
      <c r="G45" s="48"/>
      <c r="H45" s="48"/>
      <c r="I45" s="48"/>
      <c r="J45" s="48"/>
    </row>
    <row r="46" spans="1:11" x14ac:dyDescent="0.3">
      <c r="A46" s="48"/>
      <c r="B46" s="52"/>
      <c r="C46" s="52"/>
      <c r="D46" s="48"/>
      <c r="E46" s="48"/>
      <c r="F46" s="48"/>
      <c r="G46" s="48"/>
      <c r="H46" s="48"/>
      <c r="I46" s="48"/>
      <c r="J46" s="48"/>
    </row>
  </sheetData>
  <protectedRanges>
    <protectedRange sqref="C2" name="Intervalo4"/>
    <protectedRange sqref="B5:B6 B8 B10 B12:B13 B15:B17 B21:B22" name="Intervalo 1"/>
    <protectedRange sqref="E10 E12 E15 E19 E21 E5 E8" name="Intervalo2"/>
    <protectedRange sqref="B29:B32 C29 E29 C33:C36 E31:E36" name="Intervalo3"/>
  </protectedRanges>
  <dataConsolidate/>
  <mergeCells count="43">
    <mergeCell ref="K39:K40"/>
    <mergeCell ref="F25:F26"/>
    <mergeCell ref="C5:C6"/>
    <mergeCell ref="D5:D6"/>
    <mergeCell ref="E5:E6"/>
    <mergeCell ref="F5:F6"/>
    <mergeCell ref="H5:H6"/>
    <mergeCell ref="I5:I6"/>
    <mergeCell ref="J5:J6"/>
    <mergeCell ref="K5:K6"/>
    <mergeCell ref="J12:J13"/>
    <mergeCell ref="K12:K13"/>
    <mergeCell ref="C15:C17"/>
    <mergeCell ref="D15:D17"/>
    <mergeCell ref="E15:E17"/>
    <mergeCell ref="H15:H17"/>
    <mergeCell ref="I15:I17"/>
    <mergeCell ref="C12:C13"/>
    <mergeCell ref="D12:D13"/>
    <mergeCell ref="E12:E13"/>
    <mergeCell ref="F12:F13"/>
    <mergeCell ref="H12:H13"/>
    <mergeCell ref="C21:C22"/>
    <mergeCell ref="D21:D22"/>
    <mergeCell ref="E21:E22"/>
    <mergeCell ref="F21:F22"/>
    <mergeCell ref="F15:F17"/>
    <mergeCell ref="C29:C30"/>
    <mergeCell ref="D29:D30"/>
    <mergeCell ref="H29:H30"/>
    <mergeCell ref="C3:D3"/>
    <mergeCell ref="K21:K22"/>
    <mergeCell ref="E29:E30"/>
    <mergeCell ref="F29:F30"/>
    <mergeCell ref="I29:I30"/>
    <mergeCell ref="J29:J30"/>
    <mergeCell ref="K29:K30"/>
    <mergeCell ref="J15:J17"/>
    <mergeCell ref="K15:K17"/>
    <mergeCell ref="H21:H22"/>
    <mergeCell ref="I21:I22"/>
    <mergeCell ref="J21:J22"/>
    <mergeCell ref="I12:I13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00000000-0002-0000-0000-000000000000}">
          <x14:formula1>
            <xm:f>Folha3!$B$130:$B$131</xm:f>
          </x14:formula1>
          <xm:sqref>B29</xm:sqref>
        </x14:dataValidation>
        <x14:dataValidation type="list" allowBlank="1" showInputMessage="1" showErrorMessage="1" xr:uid="{00000000-0002-0000-0000-000001000000}">
          <x14:formula1>
            <xm:f>IF($B$29=Folha3!$B$130,Folha3!$C$114:$C$125,IF($B$29=Folha3!$B$131,Folha3!$C$126:$C$128,0))</xm:f>
          </x14:formula1>
          <xm:sqref>B30</xm:sqref>
        </x14:dataValidation>
        <x14:dataValidation type="list" allowBlank="1" showInputMessage="1" showErrorMessage="1" xr:uid="{00000000-0002-0000-0000-000002000000}">
          <x14:formula1>
            <xm:f>Folha3!$B$137:$B$139</xm:f>
          </x14:formula1>
          <xm:sqref>B31</xm:sqref>
        </x14:dataValidation>
        <x14:dataValidation type="list" allowBlank="1" showInputMessage="1" showErrorMessage="1" xr:uid="{00000000-0002-0000-0000-000003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000-000004000000}">
          <x14:formula1>
            <xm:f>Folha3!$P$32:$P$37</xm:f>
          </x14:formula1>
          <xm:sqref>B15</xm:sqref>
        </x14:dataValidation>
        <x14:dataValidation type="list" allowBlank="1" showInputMessage="1" showErrorMessage="1" xr:uid="{00000000-0002-0000-0000-000005000000}">
          <x14:formula1>
            <xm:f>IF($B$15=Folha3!$P$37,Folha3!$P$27,Folha3!$M$32:$M$34)</xm:f>
          </x14:formula1>
          <xm:sqref>B17</xm:sqref>
        </x14:dataValidation>
        <x14:dataValidation type="list" allowBlank="1" showInputMessage="1" showErrorMessage="1" xr:uid="{00000000-0002-0000-0000-000006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000-000008000000}">
          <x14:formula1>
            <xm:f>Folha3!$H$11:$H$17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000-00000C000000}">
          <x14:formula1>
            <xm:f>Folha3!$B$143:$B$144</xm:f>
          </x14:formula1>
          <xm:sqref>B19</xm:sqref>
        </x14:dataValidation>
        <x14:dataValidation type="list" allowBlank="1" showInputMessage="1" showErrorMessage="1" xr:uid="{00000000-0002-0000-0000-00000D000000}">
          <x14:formula1>
            <xm:f>Folha3!$B$147:$B$151</xm:f>
          </x14:formula1>
          <xm:sqref>B33</xm:sqref>
        </x14:dataValidation>
        <x14:dataValidation type="list" allowBlank="1" showInputMessage="1" showErrorMessage="1" xr:uid="{00000000-0002-0000-0000-00000E000000}">
          <x14:formula1>
            <xm:f>Folha3!$B$104:$B$108</xm:f>
          </x14:formula1>
          <xm:sqref>B21</xm:sqref>
        </x14:dataValidation>
        <x14:dataValidation type="list" allowBlank="1" showInputMessage="1" showErrorMessage="1" xr:uid="{00000000-0002-0000-0000-00000F000000}">
          <x14:formula1>
            <xm:f>IF($B$21=Folha3!$B$107,Folha3!$C$96:$C$101,IF($B$21=Folha3!$B$105,Folha3!$C$66:$C$71,IF($B$21=Folha3!$B$106,Folha3!$C$72:$C$82,IF($B$21=Folha3!$B$108,Folha3!$C$83:$C$88,IF($B$21=Folha3!$B$104,Folha3!$C$89:$C$95,"SOB CONSULTA")))))</xm:f>
          </x14:formula1>
          <xm:sqref>B22</xm:sqref>
        </x14:dataValidation>
        <x14:dataValidation type="list" allowBlank="1" showInputMessage="1" showErrorMessage="1" xr:uid="{00000000-0002-0000-0000-00000A000000}">
          <x14:formula1>
            <xm:f>Folha3!$O$6:$O$11</xm:f>
          </x14:formula1>
          <xm:sqref>B5</xm:sqref>
        </x14:dataValidation>
        <x14:dataValidation type="list" allowBlank="1" showInputMessage="1" showErrorMessage="1" xr:uid="{00000000-0002-0000-0000-00000B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zoomScaleNormal="100" workbookViewId="0">
      <selection activeCell="B5" sqref="B5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10.332031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100</v>
      </c>
      <c r="I2" s="164"/>
    </row>
    <row r="3" spans="1:11" ht="18" customHeight="1" thickBot="1" x14ac:dyDescent="0.35">
      <c r="C3" s="274" t="s">
        <v>110</v>
      </c>
      <c r="D3" s="275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94</v>
      </c>
      <c r="C5" s="303" t="s">
        <v>70</v>
      </c>
      <c r="D5" s="305">
        <f>VLOOKUP(Folha3!O13,Folha3!A4:F64,6,FALSE)</f>
        <v>18</v>
      </c>
      <c r="E5" s="278">
        <v>0</v>
      </c>
      <c r="F5" s="306">
        <f>D5*(1-E5)</f>
        <v>18</v>
      </c>
      <c r="G5" s="74"/>
      <c r="H5" s="307">
        <f>VLOOKUP(Folha3!O13,Folha3!A5:F64,4,FALSE)</f>
        <v>3.6</v>
      </c>
      <c r="I5" s="309">
        <f>CEILING(C2/(VLOOKUP(Folha3!O13,Folha3!A5:F64,4,FALSE)),1)</f>
        <v>28</v>
      </c>
      <c r="J5" s="284">
        <f>(VLOOKUP(Folha3!O13,Folha3!A5:F64,5,FALSE))*(1-E5)</f>
        <v>64.8</v>
      </c>
      <c r="K5" s="286">
        <f>(I5*J5)</f>
        <v>1814.3999999999999</v>
      </c>
    </row>
    <row r="6" spans="1:11" ht="15" customHeight="1" thickBot="1" x14ac:dyDescent="0.35">
      <c r="A6" s="145" t="s">
        <v>0</v>
      </c>
      <c r="B6" s="82">
        <v>6</v>
      </c>
      <c r="C6" s="304"/>
      <c r="D6" s="296"/>
      <c r="E6" s="279"/>
      <c r="F6" s="298"/>
      <c r="G6" s="80"/>
      <c r="H6" s="308"/>
      <c r="I6" s="310"/>
      <c r="J6" s="288"/>
      <c r="K6" s="276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</v>
      </c>
      <c r="F8" s="108">
        <f>D8*(1-E8)</f>
        <v>3.3529999999999998</v>
      </c>
      <c r="G8" s="80"/>
      <c r="H8" s="187">
        <v>25</v>
      </c>
      <c r="I8" s="158">
        <f>CEILING((C2*C8)/25,1)</f>
        <v>14</v>
      </c>
      <c r="J8" s="184">
        <f>(VLOOKUP(B8,Folha3!H3:M8,3,FALSE))*(1-E8)</f>
        <v>23.95</v>
      </c>
      <c r="K8" s="167">
        <f>(I8*J8)</f>
        <v>335.3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4</v>
      </c>
      <c r="C10" s="189">
        <v>7</v>
      </c>
      <c r="D10" s="105">
        <f>C10*VLOOKUP(B10,Folha3!H11:M17,4,FALSE)</f>
        <v>6.7059999999999995</v>
      </c>
      <c r="E10" s="84">
        <v>0</v>
      </c>
      <c r="F10" s="108">
        <f>D10*(1-E10)</f>
        <v>6.7059999999999995</v>
      </c>
      <c r="G10" s="80"/>
      <c r="H10" s="187">
        <v>25</v>
      </c>
      <c r="I10" s="158">
        <f>CEILING((C2*C10)/25,1)</f>
        <v>28</v>
      </c>
      <c r="J10" s="184">
        <f>(VLOOKUP(B8,Folha3!H11:M17,3,FALSE))*(1-E10)</f>
        <v>23.95</v>
      </c>
      <c r="K10" s="167">
        <f>(I10*J10)</f>
        <v>670.6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12</v>
      </c>
      <c r="B12" s="81" t="s">
        <v>15</v>
      </c>
      <c r="C12" s="328">
        <f>IF(B12=Folha3!H21,0.04,0.12)</f>
        <v>0.04</v>
      </c>
      <c r="D12" s="296">
        <f>(IF(B12=Folha3!O22,Folha3!L21,IF(VELLUTO!B12=Folha3!O24,Folha3!L26,IF(VELLUTO!B12=Folha3!O25,Folha3!L27,IF(VELLUTO!B12=Folha3!O26,Folha3!L28,IF(VELLUTO!B12=Folha3!O23,IF(VELLUTO!B13=Folha3!I22,Folha3!L22,IF(VELLUTO!B13=Folha3!I23,Folha3!L23,IF(VELLUTO!B13=Folha3!I24,Folha3!L24,IF(B13=Folha3!I25,Folha3!L25,0)))),0)))))*C12)</f>
        <v>0.28120000000000001</v>
      </c>
      <c r="E12" s="278">
        <v>0</v>
      </c>
      <c r="F12" s="298">
        <f>D12*(1-E12)</f>
        <v>0.28120000000000001</v>
      </c>
      <c r="G12" s="80"/>
      <c r="H12" s="301">
        <f>(IF(B12=Folha3!H21,Folha3!J21,IF(B12=Folha3!O23,Folha3!J22,IF(B12=Folha3!O24,Folha3!J26,IF(B12=Folha3!O25,Folha3!J27,IF(B12=Folha3!O26,Folha3!J28,0))))))</f>
        <v>16</v>
      </c>
      <c r="I12" s="289">
        <f>CEILING((C2*C12)/(IF(B12=Folha3!H21,Folha3!J21,IF(B12=Folha3!O23,Folha3!J22,IF(B12=Folha3!O24,Folha3!J26,IF(B12=Folha3!O25,Folha3!J27,IF(B12=Folha3!O26,Folha3!J28,0)))))),1)</f>
        <v>1</v>
      </c>
      <c r="J12" s="288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112.48</v>
      </c>
      <c r="K12" s="276">
        <f>(I12*J12)</f>
        <v>112.48</v>
      </c>
    </row>
    <row r="13" spans="1:11" ht="15" customHeight="1" thickBot="1" x14ac:dyDescent="0.35">
      <c r="A13" s="145" t="s">
        <v>30</v>
      </c>
      <c r="B13" s="81" t="s">
        <v>32</v>
      </c>
      <c r="C13" s="328"/>
      <c r="D13" s="296"/>
      <c r="E13" s="279"/>
      <c r="F13" s="298"/>
      <c r="G13" s="80"/>
      <c r="H13" s="301"/>
      <c r="I13" s="289"/>
      <c r="J13" s="288"/>
      <c r="K13" s="276"/>
    </row>
    <row r="14" spans="1:11" ht="5.0999999999999996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3" t="s">
        <v>129</v>
      </c>
      <c r="B15" s="81" t="s">
        <v>24</v>
      </c>
      <c r="C15" s="311">
        <v>2</v>
      </c>
      <c r="D15" s="276">
        <f>(VLOOKUP(Folha3!S48,Folha3!G32:'Folha3'!Q114,6,FALSE))*VELLUTO!C15</f>
        <v>7.94</v>
      </c>
      <c r="E15" s="278">
        <v>0</v>
      </c>
      <c r="F15" s="298">
        <f>D15*(1-E15)</f>
        <v>7.94</v>
      </c>
      <c r="G15" s="80"/>
      <c r="H15" s="313">
        <v>25</v>
      </c>
      <c r="I15" s="289">
        <f>CEILING((C2*C15)/25,1)</f>
        <v>8</v>
      </c>
      <c r="J15" s="288">
        <f>(VLOOKUP(Folha3!P48,Folha3!G32:O115,5,FALSE))*(1-E15)</f>
        <v>99.25</v>
      </c>
      <c r="K15" s="276">
        <f>(I15*J15)</f>
        <v>794</v>
      </c>
    </row>
    <row r="16" spans="1:11" ht="15" customHeight="1" thickBot="1" x14ac:dyDescent="0.35">
      <c r="A16" s="145" t="s">
        <v>30</v>
      </c>
      <c r="B16" s="81" t="s">
        <v>31</v>
      </c>
      <c r="C16" s="325"/>
      <c r="D16" s="287"/>
      <c r="E16" s="279"/>
      <c r="F16" s="326"/>
      <c r="G16" s="230"/>
      <c r="H16" s="327"/>
      <c r="I16" s="283"/>
      <c r="J16" s="285"/>
      <c r="K16" s="287"/>
    </row>
    <row r="17" spans="1:11" ht="15" customHeight="1" thickBot="1" x14ac:dyDescent="0.35">
      <c r="A17" s="143" t="s">
        <v>130</v>
      </c>
      <c r="B17" s="81" t="s">
        <v>24</v>
      </c>
      <c r="C17" s="320">
        <v>2.5</v>
      </c>
      <c r="D17" s="321">
        <f>VLOOKUP(B17&amp;B18,Folha3!D159:J170,7,FALSE)</f>
        <v>9.93</v>
      </c>
      <c r="E17" s="278">
        <v>0</v>
      </c>
      <c r="F17" s="322">
        <f>D17*(1-E17)</f>
        <v>9.93</v>
      </c>
      <c r="G17" s="74"/>
      <c r="H17" s="323">
        <v>25</v>
      </c>
      <c r="I17" s="324">
        <f>CEILING((C2*C17)/25,1)</f>
        <v>10</v>
      </c>
      <c r="J17" s="314">
        <f>VLOOKUP(B17&amp;B18,Folha3!D160:F170,3,FALSE)*(1-E17)</f>
        <v>99.25</v>
      </c>
      <c r="K17" s="315">
        <f>J17*I17</f>
        <v>992.5</v>
      </c>
    </row>
    <row r="18" spans="1:11" ht="15" customHeight="1" thickBot="1" x14ac:dyDescent="0.35">
      <c r="A18" s="145"/>
      <c r="B18" s="81" t="s">
        <v>31</v>
      </c>
      <c r="C18" s="311"/>
      <c r="D18" s="317"/>
      <c r="E18" s="279"/>
      <c r="F18" s="298"/>
      <c r="G18" s="74"/>
      <c r="H18" s="313"/>
      <c r="I18" s="289"/>
      <c r="J18" s="288"/>
      <c r="K18" s="276"/>
    </row>
    <row r="19" spans="1:11" ht="5.25" customHeight="1" thickBot="1" x14ac:dyDescent="0.35">
      <c r="A19" s="138"/>
      <c r="B19" s="214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15" customHeight="1" thickBot="1" x14ac:dyDescent="0.35">
      <c r="A20" s="143" t="s">
        <v>132</v>
      </c>
      <c r="B20" s="125" t="s">
        <v>133</v>
      </c>
      <c r="C20" s="316">
        <v>2.5</v>
      </c>
      <c r="D20" s="317">
        <f>VLOOKUP(B20&amp;B21,Folha3!D173:J176,7,FALSE)</f>
        <v>21.03</v>
      </c>
      <c r="E20" s="278">
        <v>0</v>
      </c>
      <c r="F20" s="298">
        <f>D20*(1-E20)</f>
        <v>21.03</v>
      </c>
      <c r="G20" s="74"/>
      <c r="H20" s="313">
        <v>20</v>
      </c>
      <c r="I20" s="318">
        <f>CEILING((C2*C20)/20,1)</f>
        <v>13</v>
      </c>
      <c r="J20" s="288">
        <f>VLOOKUP(B20&amp;B21,Folha3!D173:F176,3,FALSE)*(1-E20)</f>
        <v>168.2</v>
      </c>
      <c r="K20" s="319">
        <f>J20*I20</f>
        <v>2186.6</v>
      </c>
    </row>
    <row r="21" spans="1:11" ht="15" customHeight="1" thickBot="1" x14ac:dyDescent="0.35">
      <c r="A21" s="145" t="s">
        <v>30</v>
      </c>
      <c r="B21" s="218" t="s">
        <v>31</v>
      </c>
      <c r="C21" s="316"/>
      <c r="D21" s="317"/>
      <c r="E21" s="279"/>
      <c r="F21" s="298"/>
      <c r="G21" s="74"/>
      <c r="H21" s="313"/>
      <c r="I21" s="318"/>
      <c r="J21" s="288"/>
      <c r="K21" s="319"/>
    </row>
    <row r="22" spans="1:11" ht="5.0999999999999996" customHeight="1" thickBot="1" x14ac:dyDescent="0.35">
      <c r="A22" s="138"/>
      <c r="B22" s="79"/>
      <c r="C22" s="79"/>
      <c r="D22" s="135"/>
      <c r="E22" s="77"/>
      <c r="F22" s="77"/>
      <c r="G22" s="136"/>
      <c r="H22" s="136"/>
      <c r="I22" s="136"/>
      <c r="J22" s="136"/>
      <c r="K22" s="169"/>
    </row>
    <row r="23" spans="1:11" ht="15" customHeight="1" thickBot="1" x14ac:dyDescent="0.35">
      <c r="A23" s="144" t="s">
        <v>52</v>
      </c>
      <c r="B23" s="81" t="s">
        <v>53</v>
      </c>
      <c r="C23" s="141">
        <v>1.1000000000000001</v>
      </c>
      <c r="D23" s="188">
        <f>((VLOOKUP(B23,Folha3!B143:C144,2))/50)*1.1</f>
        <v>1.8295200000000003</v>
      </c>
      <c r="E23" s="84">
        <v>0</v>
      </c>
      <c r="F23" s="186">
        <f>D23*(1-E23)</f>
        <v>1.8295200000000003</v>
      </c>
      <c r="G23" s="149"/>
      <c r="H23" s="179" t="s">
        <v>100</v>
      </c>
      <c r="I23" s="160">
        <f>CEILING((C2*1.1)/50,1)</f>
        <v>3</v>
      </c>
      <c r="J23" s="184">
        <f>((VLOOKUP(B23,Folha3!B143:C144,2)*(1-E23)))</f>
        <v>83.16</v>
      </c>
      <c r="K23" s="167">
        <f>J23*I23</f>
        <v>249.48</v>
      </c>
    </row>
    <row r="24" spans="1:11" ht="5.0999999999999996" customHeight="1" thickBot="1" x14ac:dyDescent="0.35">
      <c r="A24" s="139"/>
      <c r="B24" s="137"/>
      <c r="C24" s="137"/>
      <c r="D24" s="136"/>
      <c r="E24" s="136"/>
      <c r="F24" s="136"/>
      <c r="G24" s="136"/>
      <c r="H24" s="136"/>
      <c r="I24" s="136"/>
      <c r="J24" s="136"/>
      <c r="K24" s="169"/>
    </row>
    <row r="25" spans="1:11" ht="15.6" thickBot="1" x14ac:dyDescent="0.35">
      <c r="A25" s="143" t="s">
        <v>136</v>
      </c>
      <c r="B25" s="94" t="s">
        <v>54</v>
      </c>
      <c r="C25" s="294">
        <v>6</v>
      </c>
      <c r="D25" s="296">
        <f>(VLOOKUP(Folha3!D111,Folha3!A66:F101,6,FALSE))*C25</f>
        <v>1.62</v>
      </c>
      <c r="E25" s="278">
        <v>0</v>
      </c>
      <c r="F25" s="298">
        <f>D25*(1-E25)</f>
        <v>1.62</v>
      </c>
      <c r="G25" s="92"/>
      <c r="H25" s="289">
        <f>VLOOKUP(Folha3!B111,Folha3!A66:F101,4,FALSE)</f>
        <v>200</v>
      </c>
      <c r="I25" s="291">
        <f>CEILING((C2*C25)/(IF(B25=Folha3!B105,200,100)),1)</f>
        <v>3</v>
      </c>
      <c r="J25" s="288">
        <f>((VLOOKUP(Folha3!B111,Folha3!A66:F101,5,FALSE)))*(1-E25)</f>
        <v>54</v>
      </c>
      <c r="K25" s="276">
        <f>(I25*J25)</f>
        <v>162</v>
      </c>
    </row>
    <row r="26" spans="1:11" ht="15.75" customHeight="1" thickBot="1" x14ac:dyDescent="0.35">
      <c r="A26" s="142" t="s">
        <v>57</v>
      </c>
      <c r="B26" s="152">
        <v>90</v>
      </c>
      <c r="C26" s="295"/>
      <c r="D26" s="297"/>
      <c r="E26" s="279"/>
      <c r="F26" s="299"/>
      <c r="G26" s="150"/>
      <c r="H26" s="290"/>
      <c r="I26" s="292"/>
      <c r="J26" s="293"/>
      <c r="K26" s="277"/>
    </row>
    <row r="27" spans="1:11" ht="5.0999999999999996" customHeight="1" x14ac:dyDescent="0.3"/>
    <row r="28" spans="1:11" ht="15" customHeight="1" thickBot="1" x14ac:dyDescent="0.35">
      <c r="B28" s="56"/>
      <c r="C28" s="56"/>
      <c r="D28" s="55"/>
      <c r="E28" s="57" t="s">
        <v>51</v>
      </c>
      <c r="F28" s="170">
        <f>SUM(F5,F8,F10,F12,F15,F17,F20,F23,F25)</f>
        <v>70.689720000000008</v>
      </c>
      <c r="K28" s="57"/>
    </row>
    <row r="29" spans="1:11" ht="13.5" customHeight="1" x14ac:dyDescent="0.3">
      <c r="B29" s="56"/>
      <c r="C29" s="56"/>
      <c r="D29" s="55"/>
      <c r="E29" s="112" t="s">
        <v>82</v>
      </c>
      <c r="F29" s="302">
        <f>F28*C2</f>
        <v>7068.9720000000007</v>
      </c>
    </row>
    <row r="30" spans="1:11" ht="12.75" customHeight="1" thickBot="1" x14ac:dyDescent="0.35">
      <c r="B30" s="56"/>
      <c r="C30" s="56"/>
      <c r="D30" s="55"/>
      <c r="E30" s="109" t="s">
        <v>85</v>
      </c>
      <c r="F30" s="302"/>
    </row>
    <row r="31" spans="1:11" ht="15" customHeight="1" thickBot="1" x14ac:dyDescent="0.35">
      <c r="A31" s="130" t="s">
        <v>45</v>
      </c>
    </row>
    <row r="32" spans="1:11" ht="15" customHeight="1" thickBot="1" x14ac:dyDescent="0.35">
      <c r="A32" s="119" t="s">
        <v>42</v>
      </c>
      <c r="B32" s="114" t="s">
        <v>41</v>
      </c>
      <c r="C32" s="114" t="s">
        <v>91</v>
      </c>
      <c r="D32" s="114" t="s">
        <v>56</v>
      </c>
      <c r="E32" s="114" t="s">
        <v>64</v>
      </c>
      <c r="F32" s="114" t="s">
        <v>65</v>
      </c>
      <c r="G32" s="121"/>
      <c r="H32" s="120" t="s">
        <v>98</v>
      </c>
      <c r="I32" s="120" t="s">
        <v>91</v>
      </c>
      <c r="J32" s="114" t="s">
        <v>92</v>
      </c>
      <c r="K32" s="117" t="s">
        <v>99</v>
      </c>
    </row>
    <row r="33" spans="1:11" ht="16.2" thickBot="1" x14ac:dyDescent="0.35">
      <c r="A33" s="123" t="s">
        <v>46</v>
      </c>
      <c r="B33" s="95" t="s">
        <v>59</v>
      </c>
      <c r="C33" s="268">
        <v>50</v>
      </c>
      <c r="D33" s="270">
        <f>VLOOKUP(Folha3!B135,Folha3!A114:F128,6,FALSE)</f>
        <v>6.0060000000000002</v>
      </c>
      <c r="E33" s="278">
        <v>0</v>
      </c>
      <c r="F33" s="280">
        <f>D33*(1-E33)</f>
        <v>6.0060000000000002</v>
      </c>
      <c r="G33" s="93"/>
      <c r="H33" s="272">
        <v>2.5</v>
      </c>
      <c r="I33" s="282">
        <f>_xlfn.CEILING.MATH(IF(Folha3!D132=25,VELLUTO!C33/25,VELLUTO!C33/2.5),1,1)</f>
        <v>2</v>
      </c>
      <c r="J33" s="284">
        <f>(VLOOKUP(Folha3!B135,Folha3!A114:F128,5,FALSE))*(1-E33)</f>
        <v>150.15</v>
      </c>
      <c r="K33" s="286">
        <f>J33*I33</f>
        <v>300.3</v>
      </c>
    </row>
    <row r="34" spans="1:11" ht="16.2" thickBot="1" x14ac:dyDescent="0.35">
      <c r="A34" s="174" t="s">
        <v>0</v>
      </c>
      <c r="B34" s="96">
        <v>60</v>
      </c>
      <c r="C34" s="269"/>
      <c r="D34" s="271"/>
      <c r="E34" s="279"/>
      <c r="F34" s="281"/>
      <c r="G34" s="93"/>
      <c r="H34" s="273"/>
      <c r="I34" s="283"/>
      <c r="J34" s="285"/>
      <c r="K34" s="287"/>
    </row>
    <row r="35" spans="1:11" ht="16.2" thickBot="1" x14ac:dyDescent="0.35">
      <c r="A35" s="123" t="s">
        <v>111</v>
      </c>
      <c r="B35" s="96" t="s">
        <v>118</v>
      </c>
      <c r="C35" s="180">
        <v>50</v>
      </c>
      <c r="D35" s="173">
        <f>IF(B35=Folha3!B137,Folha3!F137/2,IF(VELLUTO!B35=Folha3!B138,Folha3!F138/2,IF(VELLUTO!B35=Folha3!B139,Folha3!F139/2,0)))</f>
        <v>9.9149999999999991</v>
      </c>
      <c r="E35" s="84">
        <v>0</v>
      </c>
      <c r="F35" s="89">
        <f t="shared" ref="F35:F40" si="0">D35*(1-E35)</f>
        <v>9.9149999999999991</v>
      </c>
      <c r="G35" s="93"/>
      <c r="H35" s="181">
        <f>IF(B35=Folha3!B137,Folha3!D137*2,IF(B35=Folha3!B138,Folha3!D138*2,IF(B35=Folha3!B139,Folha3!D139*2,0)))</f>
        <v>10</v>
      </c>
      <c r="I35" s="172">
        <f>CEILING(C35/H35,1)</f>
        <v>5</v>
      </c>
      <c r="J35" s="182">
        <f>IF(B35=Folha3!B137,Folha3!E137,IF(B35=Folha3!B138,Folha3!E138,IF(B35=Folha3!B139,Folha3!E139,0)))*(1-E34)</f>
        <v>99.149999999999991</v>
      </c>
      <c r="K35" s="122">
        <f t="shared" ref="K35:K40" si="1">J35*I35</f>
        <v>495.74999999999994</v>
      </c>
    </row>
    <row r="36" spans="1:11" ht="16.2" thickBot="1" x14ac:dyDescent="0.35">
      <c r="A36" s="123" t="s">
        <v>112</v>
      </c>
      <c r="B36" s="177" t="s">
        <v>109</v>
      </c>
      <c r="C36" s="191">
        <v>4</v>
      </c>
      <c r="D36" s="173">
        <f>4.3*C36</f>
        <v>17.2</v>
      </c>
      <c r="E36" s="84">
        <v>0</v>
      </c>
      <c r="F36" s="89">
        <f t="shared" si="0"/>
        <v>17.2</v>
      </c>
      <c r="G36" s="93"/>
      <c r="H36" s="175">
        <v>35.75</v>
      </c>
      <c r="I36" s="176">
        <f>CEILING(C36*C35/H36,1)</f>
        <v>6</v>
      </c>
      <c r="J36" s="182">
        <f>102.5*(1-E35)</f>
        <v>102.5</v>
      </c>
      <c r="K36" s="122">
        <f t="shared" si="1"/>
        <v>615</v>
      </c>
    </row>
    <row r="37" spans="1:11" ht="15" thickBot="1" x14ac:dyDescent="0.35">
      <c r="A37" s="123" t="s">
        <v>47</v>
      </c>
      <c r="B37" s="95" t="s">
        <v>124</v>
      </c>
      <c r="C37" s="111">
        <v>50</v>
      </c>
      <c r="D37" s="90">
        <f>(VLOOKUP(B37,Folha3!B147:C151,2,FALSE)/2.5)</f>
        <v>2.6719999999999997</v>
      </c>
      <c r="E37" s="84">
        <v>0</v>
      </c>
      <c r="F37" s="89">
        <f t="shared" si="0"/>
        <v>2.6719999999999997</v>
      </c>
      <c r="G37" s="78"/>
      <c r="H37" s="162">
        <v>2.5</v>
      </c>
      <c r="I37" s="132">
        <f>CEILING(C37/2.5,1)</f>
        <v>20</v>
      </c>
      <c r="J37" s="182">
        <f>(VLOOKUP(B37,Folha3!B147:C151,2,FALSE)*(1-E37))</f>
        <v>6.68</v>
      </c>
      <c r="K37" s="122">
        <f t="shared" si="1"/>
        <v>133.6</v>
      </c>
    </row>
    <row r="38" spans="1:11" ht="15" thickBot="1" x14ac:dyDescent="0.35">
      <c r="A38" s="123" t="s">
        <v>48</v>
      </c>
      <c r="B38" s="91"/>
      <c r="C38" s="111">
        <v>10</v>
      </c>
      <c r="D38" s="90">
        <f>12.6/2.5</f>
        <v>5.04</v>
      </c>
      <c r="E38" s="84">
        <v>0</v>
      </c>
      <c r="F38" s="89">
        <f t="shared" si="0"/>
        <v>5.04</v>
      </c>
      <c r="G38" s="78"/>
      <c r="H38" s="162">
        <v>2.5</v>
      </c>
      <c r="I38" s="131">
        <f>CEILING(C38/2.5,1)</f>
        <v>4</v>
      </c>
      <c r="J38" s="182">
        <f>12.6*(1-E38)</f>
        <v>12.6</v>
      </c>
      <c r="K38" s="122">
        <f t="shared" si="1"/>
        <v>50.4</v>
      </c>
    </row>
    <row r="39" spans="1:11" ht="15" thickBot="1" x14ac:dyDescent="0.35">
      <c r="A39" s="123" t="s">
        <v>50</v>
      </c>
      <c r="B39" s="91"/>
      <c r="C39" s="111">
        <v>0</v>
      </c>
      <c r="D39" s="90">
        <f>45.4/2.5</f>
        <v>18.16</v>
      </c>
      <c r="E39" s="84">
        <v>0</v>
      </c>
      <c r="F39" s="89">
        <f t="shared" si="0"/>
        <v>18.16</v>
      </c>
      <c r="G39" s="78"/>
      <c r="H39" s="162">
        <v>2.5</v>
      </c>
      <c r="I39" s="132">
        <f>CEILING(C39/2.5,1)</f>
        <v>0</v>
      </c>
      <c r="J39" s="182">
        <f>45.4*(1-E39)</f>
        <v>45.4</v>
      </c>
      <c r="K39" s="122">
        <f t="shared" si="1"/>
        <v>0</v>
      </c>
    </row>
    <row r="40" spans="1:11" ht="15" thickBot="1" x14ac:dyDescent="0.35">
      <c r="A40" s="124" t="s">
        <v>68</v>
      </c>
      <c r="B40" s="125" t="s">
        <v>63</v>
      </c>
      <c r="C40" s="111">
        <v>50</v>
      </c>
      <c r="D40" s="126">
        <f>300/(1.5*50)</f>
        <v>4</v>
      </c>
      <c r="E40" s="84">
        <v>0</v>
      </c>
      <c r="F40" s="127">
        <f t="shared" si="0"/>
        <v>4</v>
      </c>
      <c r="G40" s="128"/>
      <c r="H40" s="161" t="s">
        <v>100</v>
      </c>
      <c r="I40" s="133">
        <f>CEILING((C40/50),1)</f>
        <v>1</v>
      </c>
      <c r="J40" s="185">
        <f>300*(1-E40)</f>
        <v>300</v>
      </c>
      <c r="K40" s="118">
        <f t="shared" si="1"/>
        <v>300</v>
      </c>
    </row>
    <row r="41" spans="1:11" ht="5.0999999999999996" customHeight="1" x14ac:dyDescent="0.3"/>
    <row r="42" spans="1:11" ht="15" thickBot="1" x14ac:dyDescent="0.35">
      <c r="J42" s="57" t="s">
        <v>93</v>
      </c>
      <c r="K42" s="170">
        <f>SUM(K33:K40)</f>
        <v>1895.05</v>
      </c>
    </row>
    <row r="43" spans="1:11" x14ac:dyDescent="0.3">
      <c r="B43" s="47"/>
      <c r="C43" s="47"/>
      <c r="J43" s="112" t="s">
        <v>82</v>
      </c>
      <c r="K43" s="302">
        <f>SUM(K42,F29)</f>
        <v>8964.0220000000008</v>
      </c>
    </row>
    <row r="44" spans="1:11" ht="11.25" customHeight="1" x14ac:dyDescent="0.3">
      <c r="J44" s="109" t="s">
        <v>95</v>
      </c>
      <c r="K44" s="302"/>
    </row>
    <row r="46" spans="1:11" x14ac:dyDescent="0.3">
      <c r="A46" s="49"/>
      <c r="B46" s="51"/>
      <c r="C46" s="51"/>
      <c r="D46" s="49"/>
      <c r="E46" s="49"/>
      <c r="F46" s="49"/>
      <c r="G46" s="49"/>
      <c r="H46" s="49"/>
      <c r="I46" s="49"/>
      <c r="J46" s="49"/>
    </row>
    <row r="47" spans="1:11" x14ac:dyDescent="0.3">
      <c r="A47" s="49"/>
      <c r="B47" s="51"/>
      <c r="C47" s="51"/>
      <c r="D47" s="49"/>
      <c r="E47" s="49"/>
      <c r="F47" s="49"/>
      <c r="G47" s="49"/>
      <c r="H47" s="49"/>
      <c r="I47" s="49"/>
      <c r="J47" s="49"/>
    </row>
    <row r="48" spans="1:11" x14ac:dyDescent="0.3">
      <c r="A48" s="49"/>
      <c r="B48" s="51"/>
      <c r="C48" s="51"/>
      <c r="D48" s="49"/>
      <c r="E48" s="49"/>
      <c r="F48" s="49"/>
      <c r="G48" s="49"/>
      <c r="H48" s="49"/>
      <c r="I48" s="49"/>
      <c r="J48" s="49"/>
    </row>
    <row r="49" spans="1:10" x14ac:dyDescent="0.3">
      <c r="A49" s="48"/>
      <c r="B49" s="52"/>
      <c r="C49" s="52"/>
      <c r="D49" s="48"/>
      <c r="E49" s="48"/>
      <c r="F49" s="48"/>
      <c r="G49" s="48"/>
      <c r="H49" s="48"/>
      <c r="I49" s="48"/>
      <c r="J49" s="48"/>
    </row>
    <row r="50" spans="1:10" x14ac:dyDescent="0.3">
      <c r="A50" s="48"/>
      <c r="B50" s="52"/>
      <c r="C50" s="52"/>
      <c r="D50" s="48"/>
      <c r="E50" s="48"/>
      <c r="F50" s="48"/>
      <c r="G50" s="48"/>
      <c r="H50" s="48"/>
      <c r="I50" s="48"/>
      <c r="J50" s="48"/>
    </row>
  </sheetData>
  <protectedRanges>
    <protectedRange sqref="C2" name="Intervalo4"/>
    <protectedRange sqref="B5:B6 B8 B10 B12:B13 B25:B26 B15:B20" name="Intervalo 1"/>
    <protectedRange sqref="E10 E12 E23 E25 E5 E8 E15 E17 E19:E20" name="Intervalo2"/>
    <protectedRange sqref="B33:B36 C33 E33 C37:C40 E35:E40" name="Intervalo3"/>
  </protectedRanges>
  <dataConsolidate/>
  <mergeCells count="59">
    <mergeCell ref="C3:D3"/>
    <mergeCell ref="C5:C6"/>
    <mergeCell ref="D5:D6"/>
    <mergeCell ref="E5:E6"/>
    <mergeCell ref="F5:F6"/>
    <mergeCell ref="K12:K13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F33:F34"/>
    <mergeCell ref="H33:H34"/>
    <mergeCell ref="I33:I34"/>
    <mergeCell ref="J33:J34"/>
    <mergeCell ref="C25:C26"/>
    <mergeCell ref="D25:D26"/>
    <mergeCell ref="E25:E26"/>
    <mergeCell ref="F25:F26"/>
    <mergeCell ref="H25:H26"/>
    <mergeCell ref="I25:I26"/>
    <mergeCell ref="K33:K34"/>
    <mergeCell ref="K43:K44"/>
    <mergeCell ref="C15:C16"/>
    <mergeCell ref="D15:D16"/>
    <mergeCell ref="E15:E16"/>
    <mergeCell ref="F15:F16"/>
    <mergeCell ref="H15:H16"/>
    <mergeCell ref="I15:I16"/>
    <mergeCell ref="J15:J16"/>
    <mergeCell ref="K15:K16"/>
    <mergeCell ref="J25:J26"/>
    <mergeCell ref="K25:K26"/>
    <mergeCell ref="F29:F30"/>
    <mergeCell ref="C33:C34"/>
    <mergeCell ref="D33:D34"/>
    <mergeCell ref="E33:E34"/>
    <mergeCell ref="J17:J18"/>
    <mergeCell ref="K17:K18"/>
    <mergeCell ref="C20:C21"/>
    <mergeCell ref="D20:D21"/>
    <mergeCell ref="E20:E21"/>
    <mergeCell ref="F20:F21"/>
    <mergeCell ref="H20:H21"/>
    <mergeCell ref="I20:I21"/>
    <mergeCell ref="J20:J21"/>
    <mergeCell ref="K20:K21"/>
    <mergeCell ref="C17:C18"/>
    <mergeCell ref="D17:D18"/>
    <mergeCell ref="E17:E18"/>
    <mergeCell ref="F17:F18"/>
    <mergeCell ref="H17:H18"/>
    <mergeCell ref="I17:I18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0000000}">
          <x14:formula1>
            <xm:f>Folha3!$B$147:$B$151</xm:f>
          </x14:formula1>
          <xm:sqref>B37</xm:sqref>
        </x14:dataValidation>
        <x14:dataValidation type="list" allowBlank="1" showInputMessage="1" showErrorMessage="1" xr:uid="{00000000-0002-0000-0100-000001000000}">
          <x14:formula1>
            <xm:f>Folha3!$B$143:$B$144</xm:f>
          </x14:formula1>
          <xm:sqref>B23</xm:sqref>
        </x14:dataValidation>
        <x14:dataValidation type="list" allowBlank="1" showInputMessage="1" showErrorMessage="1" xr:uid="{00000000-0002-0000-0100-000004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100-000005000000}">
          <x14:formula1>
            <xm:f>Folha3!$H$11:$H$16</xm:f>
          </x14:formula1>
          <xm:sqref>B10</xm:sqref>
        </x14:dataValidation>
        <x14:dataValidation type="list" allowBlank="1" showInputMessage="1" showErrorMessage="1" xr:uid="{00000000-0002-0000-0100-000006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100-000007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100-000008000000}">
          <x14:formula1>
            <xm:f>Folha3!$P$32:$P$34</xm:f>
          </x14:formula1>
          <xm:sqref>B15</xm:sqref>
        </x14:dataValidation>
        <x14:dataValidation type="list" allowBlank="1" showInputMessage="1" showErrorMessage="1" xr:uid="{00000000-0002-0000-0100-000009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100-00000A000000}">
          <x14:formula1>
            <xm:f>Folha3!$B$137:$B$139</xm:f>
          </x14:formula1>
          <xm:sqref>B35</xm:sqref>
        </x14:dataValidation>
        <x14:dataValidation type="list" allowBlank="1" showInputMessage="1" showErrorMessage="1" xr:uid="{00000000-0002-0000-0100-00000B000000}">
          <x14:formula1>
            <xm:f>IF($B$33=Folha3!$B$130,Folha3!$C$114:$C$125,IF($B$33=Folha3!$B$131,Folha3!$C$126:$C$128,0))</xm:f>
          </x14:formula1>
          <xm:sqref>B34</xm:sqref>
        </x14:dataValidation>
        <x14:dataValidation type="list" allowBlank="1" showInputMessage="1" showErrorMessage="1" xr:uid="{00000000-0002-0000-0100-00000C000000}">
          <x14:formula1>
            <xm:f>Folha3!$B$130:$B$131</xm:f>
          </x14:formula1>
          <xm:sqref>B33</xm:sqref>
        </x14:dataValidation>
        <x14:dataValidation type="list" allowBlank="1" showInputMessage="1" showErrorMessage="1" xr:uid="{00000000-0002-0000-0100-00000D000000}">
          <x14:formula1>
            <xm:f>Folha3!$B$165:$B$166</xm:f>
          </x14:formula1>
          <xm:sqref>B17</xm:sqref>
        </x14:dataValidation>
        <x14:dataValidation type="list" allowBlank="1" showInputMessage="1" showErrorMessage="1" xr:uid="{00000000-0002-0000-0100-00000E000000}">
          <x14:formula1>
            <xm:f>IF($B$17=Folha3!$B$160,Folha3!$C$160:$C$165,Folha3!$C$166:$C$170)</xm:f>
          </x14:formula1>
          <xm:sqref>B18</xm:sqref>
        </x14:dataValidation>
        <x14:dataValidation type="list" allowBlank="1" showInputMessage="1" showErrorMessage="1" xr:uid="{00000000-0002-0000-0100-00000F000000}">
          <x14:formula1>
            <xm:f>Folha3!$C$160:$C$163</xm:f>
          </x14:formula1>
          <xm:sqref>B21</xm:sqref>
        </x14:dataValidation>
        <x14:dataValidation type="list" allowBlank="1" showInputMessage="1" showErrorMessage="1" xr:uid="{00000000-0002-0000-0100-000010000000}">
          <x14:formula1>
            <xm:f>IF($B$25=Folha3!$B$107,Folha3!$C$96:$C$101,IF($B$25=Folha3!$B$105,Folha3!$C$66:$C$71,IF($B$25=Folha3!$B$106,Folha3!$C$72:$C$82,IF($B$25=Folha3!$B$108,Folha3!$C$83:$C$88,IF($B$25=Folha3!$B$104,Folha3!$C$89:$C$95,"SOB CONSULTA")))))</xm:f>
          </x14:formula1>
          <xm:sqref>B26</xm:sqref>
        </x14:dataValidation>
        <x14:dataValidation type="list" allowBlank="1" showInputMessage="1" showErrorMessage="1" xr:uid="{00000000-0002-0000-0100-000011000000}">
          <x14:formula1>
            <xm:f>Folha3!$B$104:$B$108</xm:f>
          </x14:formula1>
          <xm:sqref>B25</xm:sqref>
        </x14:dataValidation>
        <x14:dataValidation type="list" allowBlank="1" showInputMessage="1" showErrorMessage="1" xr:uid="{00000000-0002-0000-0100-000002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  <x14:dataValidation type="list" allowBlank="1" showInputMessage="1" showErrorMessage="1" xr:uid="{00000000-0002-0000-0100-000003000000}">
          <x14:formula1>
            <xm:f>Folha3!$O$6:$O$11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showGridLines="0" zoomScaleNormal="100" workbookViewId="0">
      <selection activeCell="E5" sqref="E5:E6"/>
    </sheetView>
  </sheetViews>
  <sheetFormatPr defaultRowHeight="14.4" x14ac:dyDescent="0.3"/>
  <cols>
    <col min="1" max="1" width="28.88671875" bestFit="1" customWidth="1"/>
    <col min="2" max="2" width="22.6640625" style="15" customWidth="1"/>
    <col min="3" max="3" width="15.88671875" style="15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29" t="s">
        <v>86</v>
      </c>
    </row>
    <row r="2" spans="1:11" x14ac:dyDescent="0.3">
      <c r="C2" s="178">
        <v>100</v>
      </c>
      <c r="I2" s="164"/>
    </row>
    <row r="3" spans="1:11" ht="18" customHeight="1" thickBot="1" x14ac:dyDescent="0.35">
      <c r="C3" s="274" t="s">
        <v>110</v>
      </c>
      <c r="D3" s="275"/>
    </row>
    <row r="4" spans="1:11" ht="20.100000000000001" customHeight="1" thickBot="1" x14ac:dyDescent="0.35">
      <c r="A4" s="113" t="s">
        <v>42</v>
      </c>
      <c r="B4" s="114" t="s">
        <v>41</v>
      </c>
      <c r="C4" s="115" t="s">
        <v>69</v>
      </c>
      <c r="D4" s="114" t="s">
        <v>49</v>
      </c>
      <c r="E4" s="114" t="s">
        <v>64</v>
      </c>
      <c r="F4" s="114" t="s">
        <v>66</v>
      </c>
      <c r="G4" s="116"/>
      <c r="H4" s="159" t="s">
        <v>98</v>
      </c>
      <c r="I4" s="120" t="s">
        <v>91</v>
      </c>
      <c r="J4" s="159" t="s">
        <v>92</v>
      </c>
      <c r="K4" s="117" t="s">
        <v>99</v>
      </c>
    </row>
    <row r="5" spans="1:11" ht="15" customHeight="1" thickBot="1" x14ac:dyDescent="0.35">
      <c r="A5" s="146" t="s">
        <v>28</v>
      </c>
      <c r="B5" s="81" t="s">
        <v>94</v>
      </c>
      <c r="C5" s="303" t="s">
        <v>70</v>
      </c>
      <c r="D5" s="305">
        <f>VLOOKUP(Folha3!O13,Folha3!A4:F64,6,FALSE)</f>
        <v>18</v>
      </c>
      <c r="E5" s="278">
        <v>0</v>
      </c>
      <c r="F5" s="306">
        <f>D5*(1-E5)</f>
        <v>18</v>
      </c>
      <c r="G5" s="74"/>
      <c r="H5" s="307">
        <f>VLOOKUP(Folha3!O13,Folha3!A5:F64,4,FALSE)</f>
        <v>3.6</v>
      </c>
      <c r="I5" s="309">
        <f>CEILING(C2/(VLOOKUP(Folha3!O13,Folha3!A5:F64,4,FALSE)),1)</f>
        <v>28</v>
      </c>
      <c r="J5" s="284">
        <f>(VLOOKUP(Folha3!O13,Folha3!A5:F64,5,FALSE))*(1-E5)</f>
        <v>64.8</v>
      </c>
      <c r="K5" s="286">
        <f>(I5*J5)</f>
        <v>1814.3999999999999</v>
      </c>
    </row>
    <row r="6" spans="1:11" ht="15" customHeight="1" thickBot="1" x14ac:dyDescent="0.35">
      <c r="A6" s="145" t="s">
        <v>0</v>
      </c>
      <c r="B6" s="82">
        <v>6</v>
      </c>
      <c r="C6" s="304"/>
      <c r="D6" s="296"/>
      <c r="E6" s="279"/>
      <c r="F6" s="298"/>
      <c r="G6" s="80"/>
      <c r="H6" s="308"/>
      <c r="I6" s="310"/>
      <c r="J6" s="288"/>
      <c r="K6" s="276"/>
    </row>
    <row r="7" spans="1:11" ht="5.0999999999999996" customHeight="1" thickBot="1" x14ac:dyDescent="0.35">
      <c r="A7" s="147"/>
      <c r="B7" s="75"/>
      <c r="C7" s="85"/>
      <c r="D7" s="86"/>
      <c r="E7" s="76"/>
      <c r="F7" s="87"/>
      <c r="G7" s="74"/>
      <c r="H7" s="74"/>
      <c r="I7" s="88"/>
      <c r="J7" s="88"/>
      <c r="K7" s="168"/>
    </row>
    <row r="8" spans="1:11" ht="15" customHeight="1" thickBot="1" x14ac:dyDescent="0.35">
      <c r="A8" s="143" t="s">
        <v>7</v>
      </c>
      <c r="B8" s="81" t="s">
        <v>4</v>
      </c>
      <c r="C8" s="189">
        <v>3.5</v>
      </c>
      <c r="D8" s="105">
        <f>C8*VLOOKUP(B8,Folha3!H3:M8,4,FALSE)</f>
        <v>3.3529999999999998</v>
      </c>
      <c r="E8" s="84">
        <v>0</v>
      </c>
      <c r="F8" s="108">
        <f>D8*(1-E8)</f>
        <v>3.3529999999999998</v>
      </c>
      <c r="G8" s="80"/>
      <c r="H8" s="187">
        <v>25</v>
      </c>
      <c r="I8" s="158">
        <f>CEILING((C2*C8)/25,1)</f>
        <v>14</v>
      </c>
      <c r="J8" s="184">
        <f>(VLOOKUP(B8,Folha3!H3:M8,3,FALSE))*(1-E8)</f>
        <v>23.95</v>
      </c>
      <c r="K8" s="167">
        <f>(I8*J8)</f>
        <v>335.3</v>
      </c>
    </row>
    <row r="9" spans="1:11" ht="5.0999999999999996" customHeight="1" thickBot="1" x14ac:dyDescent="0.35">
      <c r="A9" s="148"/>
      <c r="B9" s="75"/>
      <c r="C9" s="85"/>
      <c r="D9" s="86"/>
      <c r="E9" s="77">
        <v>0</v>
      </c>
      <c r="F9" s="87"/>
      <c r="G9" s="74"/>
      <c r="H9" s="74"/>
      <c r="I9" s="88"/>
      <c r="J9" s="88"/>
      <c r="K9" s="168"/>
    </row>
    <row r="10" spans="1:11" ht="15" customHeight="1" thickBot="1" x14ac:dyDescent="0.35">
      <c r="A10" s="143" t="s">
        <v>11</v>
      </c>
      <c r="B10" s="81" t="s">
        <v>4</v>
      </c>
      <c r="C10" s="189">
        <v>10</v>
      </c>
      <c r="D10" s="105">
        <f>C10*VLOOKUP(B10,Folha3!H11:M17,4,FALSE)</f>
        <v>9.58</v>
      </c>
      <c r="E10" s="84">
        <v>0</v>
      </c>
      <c r="F10" s="108">
        <f>D10*(1-E10)</f>
        <v>9.58</v>
      </c>
      <c r="G10" s="80"/>
      <c r="H10" s="187">
        <v>25</v>
      </c>
      <c r="I10" s="158">
        <f>CEILING((C2*C10)/25,1)</f>
        <v>40</v>
      </c>
      <c r="J10" s="184">
        <f>(VLOOKUP(B8,Folha3!H11:M17,3,FALSE))*(1-E10)</f>
        <v>23.95</v>
      </c>
      <c r="K10" s="167">
        <f>(I10*J10)</f>
        <v>958</v>
      </c>
    </row>
    <row r="11" spans="1:11" ht="5.0999999999999996" customHeight="1" thickBot="1" x14ac:dyDescent="0.35">
      <c r="A11" s="148"/>
      <c r="B11" s="75"/>
      <c r="C11" s="85"/>
      <c r="D11" s="86"/>
      <c r="E11" s="77">
        <v>0</v>
      </c>
      <c r="F11" s="87"/>
      <c r="G11" s="74"/>
      <c r="H11" s="74"/>
      <c r="I11" s="88"/>
      <c r="J11" s="88"/>
      <c r="K11" s="168"/>
    </row>
    <row r="12" spans="1:11" ht="15" customHeight="1" thickBot="1" x14ac:dyDescent="0.35">
      <c r="A12" s="143" t="s">
        <v>137</v>
      </c>
      <c r="B12" s="81" t="s">
        <v>54</v>
      </c>
      <c r="C12" s="294">
        <v>4</v>
      </c>
      <c r="D12" s="296">
        <f>(VLOOKUP(Folha3!E111,Folha3!A66:F101,6,FALSE)*C12)</f>
        <v>1.2</v>
      </c>
      <c r="E12" s="278">
        <v>0</v>
      </c>
      <c r="F12" s="298">
        <f>D12*(1-E12)</f>
        <v>1.2</v>
      </c>
      <c r="G12" s="80"/>
      <c r="H12" s="289">
        <f>VLOOKUP(Folha3!E111,Folha3!A66:F101,4,FALSE)</f>
        <v>200</v>
      </c>
      <c r="I12" s="289">
        <f>CEILING((C2*C12)/H12,1)</f>
        <v>2</v>
      </c>
      <c r="J12" s="288">
        <f>VLOOKUP(Folha3!E111,Folha3!A66:F101,5,FALSE)*(1-E12)</f>
        <v>60</v>
      </c>
      <c r="K12" s="276">
        <f>(I12*J12)</f>
        <v>120</v>
      </c>
    </row>
    <row r="13" spans="1:11" ht="15" customHeight="1" thickBot="1" x14ac:dyDescent="0.35">
      <c r="A13" s="145" t="s">
        <v>30</v>
      </c>
      <c r="B13" s="81">
        <v>110</v>
      </c>
      <c r="C13" s="295"/>
      <c r="D13" s="296"/>
      <c r="E13" s="279"/>
      <c r="F13" s="298"/>
      <c r="G13" s="80"/>
      <c r="H13" s="283"/>
      <c r="I13" s="289"/>
      <c r="J13" s="288"/>
      <c r="K13" s="276"/>
    </row>
    <row r="14" spans="1:11" ht="4.5" customHeight="1" thickBot="1" x14ac:dyDescent="0.35">
      <c r="A14" s="148"/>
      <c r="B14" s="79"/>
      <c r="C14" s="85"/>
      <c r="D14" s="86"/>
      <c r="E14" s="77"/>
      <c r="F14" s="87"/>
      <c r="G14" s="74"/>
      <c r="H14" s="74"/>
      <c r="I14" s="88"/>
      <c r="J14" s="88"/>
      <c r="K14" s="168"/>
    </row>
    <row r="15" spans="1:11" ht="15" customHeight="1" thickBot="1" x14ac:dyDescent="0.35">
      <c r="A15" s="144" t="s">
        <v>52</v>
      </c>
      <c r="B15" s="81" t="s">
        <v>53</v>
      </c>
      <c r="C15" s="231">
        <v>1.1000000000000001</v>
      </c>
      <c r="D15" s="183">
        <f>((VLOOKUP(B15,Folha3!B143:C144,2))/50)*1.1</f>
        <v>1.8295200000000003</v>
      </c>
      <c r="E15" s="84">
        <v>0</v>
      </c>
      <c r="F15" s="186">
        <f>D15*(1-E15)</f>
        <v>1.8295200000000003</v>
      </c>
      <c r="G15" s="149"/>
      <c r="H15" s="179" t="s">
        <v>100</v>
      </c>
      <c r="I15" s="160">
        <f>CEILING((C2*1.1)/50,1)</f>
        <v>3</v>
      </c>
      <c r="J15" s="184">
        <f>((VLOOKUP(B15,Folha3!B143:C144,2)*(1-E15)))</f>
        <v>83.16</v>
      </c>
      <c r="K15" s="167">
        <f>J15*I15</f>
        <v>249.48</v>
      </c>
    </row>
    <row r="16" spans="1:11" ht="15" customHeight="1" thickBot="1" x14ac:dyDescent="0.35">
      <c r="A16" s="143" t="s">
        <v>134</v>
      </c>
      <c r="B16" s="177" t="s">
        <v>135</v>
      </c>
      <c r="C16" s="215">
        <v>1.1000000000000001</v>
      </c>
      <c r="D16" s="232">
        <f>(Folha3!C145/50)*1.1</f>
        <v>7.9860000000000007</v>
      </c>
      <c r="E16" s="84">
        <v>0</v>
      </c>
      <c r="F16" s="186">
        <f>D16*(1-E16)</f>
        <v>7.9860000000000007</v>
      </c>
      <c r="G16" s="136"/>
      <c r="H16" s="233" t="s">
        <v>100</v>
      </c>
      <c r="I16" s="234">
        <f>CEILING((C2*1.1)/50,1)</f>
        <v>3</v>
      </c>
      <c r="J16" s="235">
        <f>Folha3!C145*(1-E16)</f>
        <v>363</v>
      </c>
      <c r="K16" s="232">
        <f>J16*I16</f>
        <v>1089</v>
      </c>
    </row>
    <row r="17" spans="1:11" ht="5.0999999999999996" customHeight="1" thickBot="1" x14ac:dyDescent="0.35">
      <c r="A17" s="139"/>
      <c r="B17" s="137"/>
      <c r="C17" s="137"/>
      <c r="D17" s="136"/>
      <c r="E17" s="136"/>
      <c r="F17" s="136"/>
      <c r="G17" s="136"/>
      <c r="H17" s="136"/>
      <c r="I17" s="136"/>
      <c r="J17" s="136"/>
      <c r="K17" s="169"/>
    </row>
    <row r="18" spans="1:11" ht="15.6" thickBot="1" x14ac:dyDescent="0.35">
      <c r="A18" s="143" t="s">
        <v>138</v>
      </c>
      <c r="B18" s="216" t="s">
        <v>96</v>
      </c>
      <c r="C18" s="331">
        <v>6</v>
      </c>
      <c r="D18" s="296">
        <f>(VLOOKUP(B19,Folha3!C89:F95,4,FALSE))*C18</f>
        <v>4.8600000000000003</v>
      </c>
      <c r="E18" s="278">
        <v>0</v>
      </c>
      <c r="F18" s="298">
        <f>D18*(1-E18)</f>
        <v>4.8600000000000003</v>
      </c>
      <c r="G18" s="92"/>
      <c r="H18" s="289">
        <v>100</v>
      </c>
      <c r="I18" s="291">
        <f>CEILING((C2*C18)/100,1)</f>
        <v>6</v>
      </c>
      <c r="J18" s="288">
        <f>((VLOOKUP(Folha3!B111,Folha3!A66:F101,5,FALSE)))*(1-E18)</f>
        <v>54</v>
      </c>
      <c r="K18" s="276">
        <f>(I18*J18)</f>
        <v>324</v>
      </c>
    </row>
    <row r="19" spans="1:11" ht="15.75" customHeight="1" thickBot="1" x14ac:dyDescent="0.35">
      <c r="A19" s="229" t="s">
        <v>57</v>
      </c>
      <c r="B19" s="152">
        <v>135</v>
      </c>
      <c r="C19" s="294"/>
      <c r="D19" s="296"/>
      <c r="E19" s="279"/>
      <c r="F19" s="299"/>
      <c r="G19" s="228"/>
      <c r="H19" s="290"/>
      <c r="I19" s="292"/>
      <c r="J19" s="293"/>
      <c r="K19" s="277"/>
    </row>
    <row r="20" spans="1:11" ht="3.75" customHeight="1" thickBot="1" x14ac:dyDescent="0.35">
      <c r="A20" s="139"/>
      <c r="B20" s="227"/>
      <c r="C20" s="136"/>
      <c r="D20" s="136"/>
      <c r="E20" s="227"/>
      <c r="F20" s="136"/>
      <c r="G20" s="136"/>
      <c r="H20" s="136"/>
      <c r="I20" s="236"/>
      <c r="J20" s="236"/>
      <c r="K20" s="169"/>
    </row>
    <row r="21" spans="1:11" ht="15.75" customHeight="1" x14ac:dyDescent="0.3">
      <c r="A21" s="143" t="s">
        <v>7</v>
      </c>
      <c r="B21" s="237" t="s">
        <v>144</v>
      </c>
      <c r="C21" s="210">
        <f>VLOOKUP(RIVESTO!B21,Folha3!B186:G193,5,FALSE)</f>
        <v>5.5</v>
      </c>
      <c r="D21" s="105">
        <f>VLOOKUP(B21,Folha3!B186:G193,6,FALSE)</f>
        <v>5.5549999999999997</v>
      </c>
      <c r="E21" s="197">
        <v>0</v>
      </c>
      <c r="F21" s="192">
        <f>D21*(1-E21)</f>
        <v>5.5549999999999997</v>
      </c>
      <c r="G21" s="196"/>
      <c r="H21" s="226">
        <f>VLOOKUP(B21,Folha3!B186:G193,2,FALSE)</f>
        <v>25</v>
      </c>
      <c r="I21" s="193">
        <f>CEILING((C2*C21)/H21,1)</f>
        <v>22</v>
      </c>
      <c r="J21" s="105">
        <f>(VLOOKUP(B21,Folha3!B186:G193,3,FALSE))*(1-E21)</f>
        <v>25.25</v>
      </c>
      <c r="K21" s="167">
        <f>J21*I21</f>
        <v>555.5</v>
      </c>
    </row>
    <row r="22" spans="1:11" ht="3" customHeight="1" thickBot="1" x14ac:dyDescent="0.3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5.75" customHeight="1" thickBot="1" x14ac:dyDescent="0.35">
      <c r="A23" s="194" t="s">
        <v>154</v>
      </c>
      <c r="B23" s="195" t="s">
        <v>157</v>
      </c>
      <c r="C23" s="329" t="s">
        <v>160</v>
      </c>
      <c r="D23" s="330"/>
      <c r="E23" s="84">
        <v>0</v>
      </c>
      <c r="F23" s="192"/>
      <c r="G23" s="196"/>
      <c r="H23" s="226"/>
      <c r="I23" s="193"/>
      <c r="J23" s="105"/>
      <c r="K23" s="105"/>
    </row>
    <row r="24" spans="1:11" ht="15.75" customHeight="1" thickBot="1" x14ac:dyDescent="0.35">
      <c r="A24" s="194" t="s">
        <v>155</v>
      </c>
      <c r="B24" s="195" t="s">
        <v>156</v>
      </c>
      <c r="C24" s="210"/>
      <c r="D24" s="105"/>
      <c r="E24" s="84">
        <v>0</v>
      </c>
      <c r="F24" s="192"/>
      <c r="G24" s="196"/>
      <c r="H24" s="226"/>
      <c r="I24" s="193"/>
      <c r="J24" s="105"/>
      <c r="K24" s="105"/>
    </row>
    <row r="25" spans="1:11" ht="5.0999999999999996" customHeight="1" x14ac:dyDescent="0.3">
      <c r="E25" s="209"/>
    </row>
    <row r="26" spans="1:11" ht="15" customHeight="1" thickBot="1" x14ac:dyDescent="0.35">
      <c r="B26" s="56"/>
      <c r="C26" s="56"/>
      <c r="D26" s="55"/>
      <c r="E26" s="57" t="s">
        <v>51</v>
      </c>
      <c r="F26" s="170">
        <f>SUM(F5,F8,F10,F12,F15,F18,F21)</f>
        <v>44.377520000000004</v>
      </c>
      <c r="K26" s="57"/>
    </row>
    <row r="27" spans="1:11" ht="13.5" customHeight="1" x14ac:dyDescent="0.3">
      <c r="B27" s="56"/>
      <c r="C27" s="56"/>
      <c r="D27" s="55"/>
      <c r="E27" s="112" t="s">
        <v>82</v>
      </c>
      <c r="F27" s="302">
        <f>F26*C2</f>
        <v>4437.7520000000004</v>
      </c>
    </row>
    <row r="28" spans="1:11" ht="12.75" customHeight="1" thickBot="1" x14ac:dyDescent="0.35">
      <c r="B28" s="56"/>
      <c r="C28" s="56"/>
      <c r="D28" s="55"/>
      <c r="E28" s="109" t="s">
        <v>85</v>
      </c>
      <c r="F28" s="302"/>
    </row>
    <row r="29" spans="1:11" ht="15" customHeight="1" thickBot="1" x14ac:dyDescent="0.35">
      <c r="A29" s="130" t="s">
        <v>45</v>
      </c>
    </row>
    <row r="30" spans="1:11" ht="15" customHeight="1" thickBot="1" x14ac:dyDescent="0.35">
      <c r="A30" s="119" t="s">
        <v>42</v>
      </c>
      <c r="B30" s="114" t="s">
        <v>41</v>
      </c>
      <c r="C30" s="114" t="s">
        <v>91</v>
      </c>
      <c r="D30" s="114" t="s">
        <v>56</v>
      </c>
      <c r="E30" s="114" t="s">
        <v>64</v>
      </c>
      <c r="F30" s="114" t="s">
        <v>65</v>
      </c>
      <c r="G30" s="121"/>
      <c r="H30" s="120" t="s">
        <v>98</v>
      </c>
      <c r="I30" s="120" t="s">
        <v>91</v>
      </c>
      <c r="J30" s="114" t="s">
        <v>92</v>
      </c>
      <c r="K30" s="117" t="s">
        <v>99</v>
      </c>
    </row>
    <row r="31" spans="1:11" ht="16.2" thickBot="1" x14ac:dyDescent="0.35">
      <c r="A31" s="123" t="s">
        <v>46</v>
      </c>
      <c r="B31" s="95" t="s">
        <v>59</v>
      </c>
      <c r="C31" s="268">
        <v>50</v>
      </c>
      <c r="D31" s="270">
        <f>VLOOKUP(Folha3!B135,Folha3!A114:F128,6,FALSE)</f>
        <v>6.0060000000000002</v>
      </c>
      <c r="E31" s="278">
        <v>0</v>
      </c>
      <c r="F31" s="280">
        <f>D31*(1-E31)</f>
        <v>6.0060000000000002</v>
      </c>
      <c r="G31" s="93"/>
      <c r="H31" s="272">
        <v>2.5</v>
      </c>
      <c r="I31" s="282">
        <f>_xlfn.CEILING.MATH(IF(Folha3!D132=25,RIVESTO!C31/25,RIVESTO!C31/2.5),1,1)</f>
        <v>2</v>
      </c>
      <c r="J31" s="284">
        <f>(VLOOKUP(Folha3!B135,Folha3!A114:F128,5,FALSE))*(1-E31)</f>
        <v>150.15</v>
      </c>
      <c r="K31" s="286">
        <f>J31*I31</f>
        <v>300.3</v>
      </c>
    </row>
    <row r="32" spans="1:11" ht="16.2" thickBot="1" x14ac:dyDescent="0.35">
      <c r="A32" s="174" t="s">
        <v>0</v>
      </c>
      <c r="B32" s="96">
        <v>60</v>
      </c>
      <c r="C32" s="269"/>
      <c r="D32" s="271"/>
      <c r="E32" s="279"/>
      <c r="F32" s="281"/>
      <c r="G32" s="93"/>
      <c r="H32" s="273"/>
      <c r="I32" s="283"/>
      <c r="J32" s="285"/>
      <c r="K32" s="287"/>
    </row>
    <row r="33" spans="1:11" ht="16.2" thickBot="1" x14ac:dyDescent="0.35">
      <c r="A33" s="123" t="s">
        <v>111</v>
      </c>
      <c r="B33" s="96" t="s">
        <v>118</v>
      </c>
      <c r="C33" s="180">
        <v>50</v>
      </c>
      <c r="D33" s="173">
        <f>IF(B33=Folha3!B137,Folha3!F137/2,IF(RIVESTO!B33=Folha3!B138,Folha3!F138/2,IF(RIVESTO!B33=Folha3!B139,Folha3!F139/2,0)))</f>
        <v>9.9149999999999991</v>
      </c>
      <c r="E33" s="84">
        <v>0</v>
      </c>
      <c r="F33" s="89">
        <f t="shared" ref="F33:F37" si="0">D33*(1-E33)</f>
        <v>9.9149999999999991</v>
      </c>
      <c r="G33" s="93"/>
      <c r="H33" s="181">
        <f>IF(B33=Folha3!B137,Folha3!D137*2,IF(B33=Folha3!B138,Folha3!D138*2,IF(B33=Folha3!B139,Folha3!D139*2,0)))</f>
        <v>10</v>
      </c>
      <c r="I33" s="172">
        <f>CEILING(C33/H33,1)</f>
        <v>5</v>
      </c>
      <c r="J33" s="182">
        <f>IF(B33=Folha3!B137,Folha3!E137,IF(B33=Folha3!B138,Folha3!E138,IF(B33=Folha3!B139,Folha3!E139,0)))*(1-E32)</f>
        <v>99.149999999999991</v>
      </c>
      <c r="K33" s="122">
        <f t="shared" ref="K33:K37" si="1">J33*I33</f>
        <v>495.74999999999994</v>
      </c>
    </row>
    <row r="34" spans="1:11" ht="16.2" thickBot="1" x14ac:dyDescent="0.35">
      <c r="A34" s="123" t="s">
        <v>112</v>
      </c>
      <c r="B34" s="177" t="s">
        <v>109</v>
      </c>
      <c r="C34" s="191">
        <v>4</v>
      </c>
      <c r="D34" s="173">
        <f>4.3*C34</f>
        <v>17.2</v>
      </c>
      <c r="E34" s="84">
        <v>0</v>
      </c>
      <c r="F34" s="89">
        <f t="shared" si="0"/>
        <v>17.2</v>
      </c>
      <c r="G34" s="93"/>
      <c r="H34" s="175">
        <v>35.75</v>
      </c>
      <c r="I34" s="176">
        <f>CEILING(C34*C33/H34,1)</f>
        <v>6</v>
      </c>
      <c r="J34" s="182">
        <f>102.5*(1-E33)</f>
        <v>102.5</v>
      </c>
      <c r="K34" s="122">
        <f t="shared" si="1"/>
        <v>615</v>
      </c>
    </row>
    <row r="35" spans="1:11" ht="15" thickBot="1" x14ac:dyDescent="0.35">
      <c r="A35" s="123" t="s">
        <v>47</v>
      </c>
      <c r="B35" s="95" t="s">
        <v>126</v>
      </c>
      <c r="C35" s="111">
        <v>50</v>
      </c>
      <c r="D35" s="90">
        <f>(VLOOKUP(B35,Folha3!B147:C151,2,FALSE)/2.5)</f>
        <v>1.9440000000000002</v>
      </c>
      <c r="E35" s="84">
        <v>0</v>
      </c>
      <c r="F35" s="89">
        <f t="shared" si="0"/>
        <v>1.9440000000000002</v>
      </c>
      <c r="G35" s="78"/>
      <c r="H35" s="162">
        <v>2.5</v>
      </c>
      <c r="I35" s="132">
        <f>CEILING(C35/2.5,1)</f>
        <v>20</v>
      </c>
      <c r="J35" s="182">
        <f>(VLOOKUP(B35,Folha3!B147:C151,2,FALSE)*(1-E35))</f>
        <v>4.8600000000000003</v>
      </c>
      <c r="K35" s="122">
        <f t="shared" si="1"/>
        <v>97.2</v>
      </c>
    </row>
    <row r="36" spans="1:11" ht="15" thickBot="1" x14ac:dyDescent="0.35">
      <c r="A36" s="123" t="s">
        <v>48</v>
      </c>
      <c r="B36" s="91"/>
      <c r="C36" s="111">
        <v>10</v>
      </c>
      <c r="D36" s="90">
        <f>12.6/2.5</f>
        <v>5.04</v>
      </c>
      <c r="E36" s="84">
        <v>0</v>
      </c>
      <c r="F36" s="89">
        <f t="shared" si="0"/>
        <v>5.04</v>
      </c>
      <c r="G36" s="78"/>
      <c r="H36" s="162">
        <v>2.5</v>
      </c>
      <c r="I36" s="131">
        <f>CEILING(C36/2.5,1)</f>
        <v>4</v>
      </c>
      <c r="J36" s="182">
        <f>12.6*(1-E36)</f>
        <v>12.6</v>
      </c>
      <c r="K36" s="122">
        <f t="shared" si="1"/>
        <v>50.4</v>
      </c>
    </row>
    <row r="37" spans="1:11" ht="15" thickBot="1" x14ac:dyDescent="0.35">
      <c r="A37" s="219" t="s">
        <v>50</v>
      </c>
      <c r="B37" s="220"/>
      <c r="C37" s="111">
        <v>0</v>
      </c>
      <c r="D37" s="221">
        <f>45.4/2.5</f>
        <v>18.16</v>
      </c>
      <c r="E37" s="84">
        <v>0</v>
      </c>
      <c r="F37" s="222">
        <f t="shared" si="0"/>
        <v>18.16</v>
      </c>
      <c r="G37" s="128"/>
      <c r="H37" s="223">
        <v>2.5</v>
      </c>
      <c r="I37" s="224">
        <f>CEILING(C37/2.5,1)</f>
        <v>0</v>
      </c>
      <c r="J37" s="185">
        <f>45.4*(1-E37)</f>
        <v>45.4</v>
      </c>
      <c r="K37" s="118">
        <f t="shared" si="1"/>
        <v>0</v>
      </c>
    </row>
    <row r="38" spans="1:11" ht="5.0999999999999996" customHeight="1" x14ac:dyDescent="0.3"/>
    <row r="39" spans="1:11" ht="15" thickBot="1" x14ac:dyDescent="0.35">
      <c r="J39" s="57" t="s">
        <v>93</v>
      </c>
      <c r="K39" s="170">
        <f>SUM(K31:K37)</f>
        <v>1558.65</v>
      </c>
    </row>
    <row r="40" spans="1:11" x14ac:dyDescent="0.3">
      <c r="B40" s="47"/>
      <c r="C40" s="47"/>
      <c r="J40" s="112" t="s">
        <v>82</v>
      </c>
      <c r="K40" s="302">
        <f>SUM(K39,F27)</f>
        <v>5996.402</v>
      </c>
    </row>
    <row r="41" spans="1:11" ht="11.25" customHeight="1" x14ac:dyDescent="0.3">
      <c r="J41" s="109" t="s">
        <v>95</v>
      </c>
      <c r="K41" s="302"/>
    </row>
    <row r="43" spans="1:11" x14ac:dyDescent="0.3">
      <c r="A43" s="49"/>
      <c r="B43" s="51"/>
      <c r="C43" s="51"/>
      <c r="D43" s="49"/>
      <c r="E43" s="49"/>
      <c r="F43" s="49"/>
      <c r="G43" s="49"/>
      <c r="H43" s="49"/>
      <c r="I43" s="49"/>
      <c r="J43" s="49"/>
    </row>
    <row r="44" spans="1:11" x14ac:dyDescent="0.3">
      <c r="A44" s="49"/>
      <c r="B44" s="51"/>
      <c r="C44" s="51"/>
      <c r="D44" s="49"/>
      <c r="E44" s="49"/>
      <c r="F44" s="49"/>
      <c r="G44" s="49"/>
      <c r="H44" s="49"/>
      <c r="I44" s="49"/>
      <c r="J44" s="49"/>
    </row>
    <row r="45" spans="1:11" x14ac:dyDescent="0.3">
      <c r="A45" s="49"/>
      <c r="B45" s="51"/>
      <c r="C45" s="51"/>
      <c r="D45" s="49"/>
      <c r="E45" s="49"/>
      <c r="F45" s="49"/>
      <c r="G45" s="49"/>
      <c r="H45" s="49"/>
      <c r="I45" s="49"/>
      <c r="J45" s="49"/>
    </row>
    <row r="46" spans="1:11" x14ac:dyDescent="0.3">
      <c r="A46" s="48"/>
      <c r="B46" s="52"/>
      <c r="C46" s="52"/>
      <c r="D46" s="48"/>
      <c r="E46" s="48"/>
      <c r="F46" s="48"/>
      <c r="G46" s="48"/>
      <c r="H46" s="48"/>
      <c r="I46" s="48"/>
      <c r="J46" s="48"/>
    </row>
    <row r="47" spans="1:11" x14ac:dyDescent="0.3">
      <c r="A47" s="48"/>
      <c r="B47" s="52"/>
      <c r="C47" s="52"/>
      <c r="D47" s="48"/>
      <c r="E47" s="48"/>
      <c r="F47" s="48"/>
      <c r="G47" s="48"/>
      <c r="H47" s="48"/>
      <c r="I47" s="48"/>
      <c r="J47" s="48"/>
    </row>
  </sheetData>
  <sheetProtection algorithmName="SHA-512" hashValue="1K6TibUdReNOq8Fx+CZ/9JDW58+As8AmT+hRImosNX3kcnJVTcKloPPeEEw/OI4HVPHGa/yQrbftF6PrRYV5DQ==" saltValue="Vt7Sio8ztkNglIoa1tnYUA==" spinCount="100000" sheet="1" objects="1" scenarios="1"/>
  <protectedRanges>
    <protectedRange sqref="C2" name="Intervalo4"/>
    <protectedRange sqref="B5:B6 B8 B10 B12:B13 B18:B24" name="Intervalo 1"/>
    <protectedRange sqref="E10 E12 E18 E5 E8 E15:E16 E21:E24" name="Intervalo2"/>
    <protectedRange sqref="B31:B34 C31 E31 E33:E37 C35:C37" name="Intervalo3"/>
  </protectedRanges>
  <dataConsolidate/>
  <mergeCells count="36">
    <mergeCell ref="C3:D3"/>
    <mergeCell ref="C5:C6"/>
    <mergeCell ref="D5:D6"/>
    <mergeCell ref="E5:E6"/>
    <mergeCell ref="F5:F6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K12:K13"/>
    <mergeCell ref="I18:I19"/>
    <mergeCell ref="J18:J19"/>
    <mergeCell ref="K18:K19"/>
    <mergeCell ref="C23:D23"/>
    <mergeCell ref="I31:I32"/>
    <mergeCell ref="J31:J32"/>
    <mergeCell ref="K31:K32"/>
    <mergeCell ref="C18:C19"/>
    <mergeCell ref="D18:D19"/>
    <mergeCell ref="E18:E19"/>
    <mergeCell ref="F18:F19"/>
    <mergeCell ref="H18:H19"/>
    <mergeCell ref="K40:K41"/>
    <mergeCell ref="F27:F28"/>
    <mergeCell ref="C31:C32"/>
    <mergeCell ref="D31:D32"/>
    <mergeCell ref="E31:E32"/>
    <mergeCell ref="F31:F32"/>
    <mergeCell ref="H31:H32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200-000000000000}">
          <x14:formula1>
            <xm:f>Folha3!$B$130:$B$131</xm:f>
          </x14:formula1>
          <xm:sqref>B31</xm:sqref>
        </x14:dataValidation>
        <x14:dataValidation type="list" allowBlank="1" showInputMessage="1" showErrorMessage="1" xr:uid="{00000000-0002-0000-0200-000001000000}">
          <x14:formula1>
            <xm:f>IF($B$31=Folha3!$B$130,Folha3!$C$114:$C$125,IF($B$31=Folha3!$B$131,Folha3!$C$126:$C$128,0))</xm:f>
          </x14:formula1>
          <xm:sqref>B32</xm:sqref>
        </x14:dataValidation>
        <x14:dataValidation type="list" allowBlank="1" showInputMessage="1" showErrorMessage="1" xr:uid="{00000000-0002-0000-0200-000002000000}">
          <x14:formula1>
            <xm:f>Folha3!$B$137:$B$139</xm:f>
          </x14:formula1>
          <xm:sqref>B33</xm:sqref>
        </x14:dataValidation>
        <x14:dataValidation type="list" allowBlank="1" showInputMessage="1" showErrorMessage="1" xr:uid="{00000000-0002-0000-0200-000003000000}">
          <x14:formula1>
            <xm:f>Folha3!$H$3:$H$5</xm:f>
          </x14:formula1>
          <xm:sqref>B8</xm:sqref>
        </x14:dataValidation>
        <x14:dataValidation type="list" allowBlank="1" showInputMessage="1" showErrorMessage="1" xr:uid="{00000000-0002-0000-0200-000004000000}">
          <x14:formula1>
            <xm:f>Folha3!$B$104:$B$107</xm:f>
          </x14:formula1>
          <xm:sqref>B12</xm:sqref>
        </x14:dataValidation>
        <x14:dataValidation type="list" allowBlank="1" showInputMessage="1" showErrorMessage="1" xr:uid="{00000000-0002-0000-0200-000005000000}">
          <x14:formula1>
            <xm:f>IF($B$12=Folha3!$B$107,Folha3!$C$96:$C$101,IF($B$12=Folha3!$B$105,Folha3!$C$66:$C$71,IF($B$12=Folha3!$B$106,Folha3!$C$72:$C$82,IF($B$12=Folha3!$B$108,Folha3!$C$83:$C$88,IF($B$12=Folha3!$B$104,Folha3!$C$89:$C$95,"SOB CONSULTA")))))</xm:f>
          </x14:formula1>
          <xm:sqref>B13</xm:sqref>
        </x14:dataValidation>
        <x14:dataValidation type="list" allowBlank="1" showInputMessage="1" showErrorMessage="1" xr:uid="{00000000-0002-0000-0200-000006000000}">
          <x14:formula1>
            <xm:f>Folha3!$H$11:$H$13</xm:f>
          </x14:formula1>
          <xm:sqref>B10</xm:sqref>
        </x14:dataValidation>
        <x14:dataValidation type="list" allowBlank="1" showInputMessage="1" showErrorMessage="1" xr:uid="{00000000-0002-0000-0200-000009000000}">
          <x14:formula1>
            <xm:f>Folha3!$B$143:$B$144</xm:f>
          </x14:formula1>
          <xm:sqref>B15</xm:sqref>
        </x14:dataValidation>
        <x14:dataValidation type="list" allowBlank="1" showInputMessage="1" showErrorMessage="1" xr:uid="{00000000-0002-0000-0200-00000A000000}">
          <x14:formula1>
            <xm:f>Folha3!$B$147:$B$151</xm:f>
          </x14:formula1>
          <xm:sqref>B35</xm:sqref>
        </x14:dataValidation>
        <x14:dataValidation type="list" allowBlank="1" showInputMessage="1" showErrorMessage="1" xr:uid="{00000000-0002-0000-0200-00000B000000}">
          <x14:formula1>
            <xm:f>Folha3!$C$89:$C$95</xm:f>
          </x14:formula1>
          <xm:sqref>B19:B20</xm:sqref>
        </x14:dataValidation>
        <x14:dataValidation type="list" allowBlank="1" showInputMessage="1" showErrorMessage="1" xr:uid="{00000000-0002-0000-0200-00000C000000}">
          <x14:formula1>
            <xm:f>Folha3!$B$186:$B$193</xm:f>
          </x14:formula1>
          <xm:sqref>B21:B22</xm:sqref>
        </x14:dataValidation>
        <x14:dataValidation type="list" allowBlank="1" showInputMessage="1" showErrorMessage="1" xr:uid="{00000000-0002-0000-0200-00000D000000}">
          <x14:formula1>
            <xm:f>Folha3!$B$196:$B$198</xm:f>
          </x14:formula1>
          <xm:sqref>B23</xm:sqref>
        </x14:dataValidation>
        <x14:dataValidation type="list" allowBlank="1" showInputMessage="1" showErrorMessage="1" xr:uid="{00000000-0002-0000-0200-000007000000}">
          <x14:formula1>
            <xm:f>Folha3!$O$6:$O$11</xm:f>
          </x14:formula1>
          <xm:sqref>B5</xm:sqref>
        </x14:dataValidation>
        <x14:dataValidation type="list" allowBlank="1" showInputMessage="1" showErrorMessage="1" xr:uid="{00000000-0002-0000-0200-000008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/>
  <dimension ref="A1:AF198"/>
  <sheetViews>
    <sheetView zoomScale="80" zoomScaleNormal="80" workbookViewId="0">
      <selection activeCell="E40" sqref="E40"/>
    </sheetView>
  </sheetViews>
  <sheetFormatPr defaultRowHeight="14.4" x14ac:dyDescent="0.3"/>
  <cols>
    <col min="1" max="1" width="8.6640625" customWidth="1"/>
    <col min="2" max="2" width="25" bestFit="1" customWidth="1"/>
    <col min="3" max="3" width="11.33203125" style="1" customWidth="1"/>
    <col min="4" max="4" width="18.109375" style="1" bestFit="1" customWidth="1"/>
    <col min="5" max="5" width="12.6640625" style="1" bestFit="1" customWidth="1"/>
    <col min="6" max="6" width="9.44140625" style="1" bestFit="1" customWidth="1"/>
    <col min="7" max="7" width="12.5546875" customWidth="1"/>
    <col min="8" max="8" width="20.5546875" customWidth="1"/>
    <col min="9" max="10" width="17.44140625" bestFit="1" customWidth="1"/>
    <col min="11" max="11" width="12.6640625" bestFit="1" customWidth="1"/>
    <col min="12" max="12" width="16.6640625" bestFit="1" customWidth="1"/>
    <col min="13" max="13" width="15.6640625" bestFit="1" customWidth="1"/>
    <col min="14" max="14" width="16.6640625" bestFit="1" customWidth="1"/>
    <col min="15" max="15" width="19.109375" bestFit="1" customWidth="1"/>
    <col min="16" max="16" width="15.33203125" bestFit="1" customWidth="1"/>
    <col min="17" max="17" width="11" bestFit="1" customWidth="1"/>
  </cols>
  <sheetData>
    <row r="1" spans="1:15" ht="15" thickBot="1" x14ac:dyDescent="0.35"/>
    <row r="2" spans="1:15" ht="16.2" x14ac:dyDescent="0.3">
      <c r="H2" s="34" t="s">
        <v>7</v>
      </c>
      <c r="I2" s="19" t="s">
        <v>8</v>
      </c>
      <c r="J2" s="19" t="s">
        <v>9</v>
      </c>
      <c r="K2" s="20" t="s">
        <v>10</v>
      </c>
      <c r="L2" s="19" t="s">
        <v>20</v>
      </c>
      <c r="M2" s="21" t="s">
        <v>77</v>
      </c>
    </row>
    <row r="3" spans="1:15" ht="15" thickBot="1" x14ac:dyDescent="0.35">
      <c r="H3" s="249" t="s">
        <v>4</v>
      </c>
      <c r="I3" s="16">
        <v>25</v>
      </c>
      <c r="J3" s="18">
        <v>23.95</v>
      </c>
      <c r="K3" s="18">
        <f>J3/I3</f>
        <v>0.95799999999999996</v>
      </c>
      <c r="L3" s="16">
        <v>3</v>
      </c>
      <c r="M3" s="24">
        <f>K3*L3</f>
        <v>2.8739999999999997</v>
      </c>
    </row>
    <row r="4" spans="1:15" ht="29.4" thickBot="1" x14ac:dyDescent="0.35">
      <c r="B4" s="36" t="s">
        <v>3</v>
      </c>
      <c r="C4" s="37" t="s">
        <v>0</v>
      </c>
      <c r="D4" s="37" t="s">
        <v>2</v>
      </c>
      <c r="E4" s="37" t="s">
        <v>1</v>
      </c>
      <c r="F4" s="21" t="s">
        <v>77</v>
      </c>
      <c r="H4" s="249" t="s">
        <v>101</v>
      </c>
      <c r="I4" s="17">
        <v>25</v>
      </c>
      <c r="J4" s="18">
        <v>21.9</v>
      </c>
      <c r="K4" s="18">
        <f t="shared" ref="K4" si="0">J4/I4</f>
        <v>0.87599999999999989</v>
      </c>
      <c r="L4" s="16">
        <v>3</v>
      </c>
      <c r="M4" s="24">
        <f t="shared" ref="M4" si="1">K4*L4</f>
        <v>2.6279999999999997</v>
      </c>
    </row>
    <row r="5" spans="1:15" ht="15" thickBot="1" x14ac:dyDescent="0.35">
      <c r="A5">
        <v>2.1</v>
      </c>
      <c r="B5" s="335" t="s">
        <v>115</v>
      </c>
      <c r="C5" s="2">
        <v>2</v>
      </c>
      <c r="D5" s="58">
        <v>30</v>
      </c>
      <c r="E5" s="8">
        <f>F5*D5</f>
        <v>96</v>
      </c>
      <c r="F5" s="12">
        <v>3.2</v>
      </c>
      <c r="H5" s="249" t="s">
        <v>102</v>
      </c>
      <c r="I5" s="45">
        <v>25</v>
      </c>
      <c r="J5" s="18">
        <v>18.55</v>
      </c>
      <c r="K5" s="18">
        <f>J5/I5</f>
        <v>0.74199999999999999</v>
      </c>
      <c r="L5" s="44">
        <v>3</v>
      </c>
      <c r="M5" s="24">
        <f>K5*L5</f>
        <v>2.226</v>
      </c>
    </row>
    <row r="6" spans="1:15" ht="15" thickBot="1" x14ac:dyDescent="0.35">
      <c r="A6">
        <v>3.1</v>
      </c>
      <c r="B6" s="336"/>
      <c r="C6" s="3">
        <v>3</v>
      </c>
      <c r="D6" s="3">
        <v>20</v>
      </c>
      <c r="E6" s="8">
        <f t="shared" ref="E6:E15" si="2">F6*D6</f>
        <v>96</v>
      </c>
      <c r="F6" s="13">
        <v>4.8</v>
      </c>
      <c r="H6" s="257" t="s">
        <v>113</v>
      </c>
      <c r="I6" s="154">
        <v>25</v>
      </c>
      <c r="J6" s="155">
        <v>16.8</v>
      </c>
      <c r="K6" s="18">
        <f>J6/I6</f>
        <v>0.67200000000000004</v>
      </c>
      <c r="L6" s="156">
        <v>3</v>
      </c>
      <c r="M6" s="24">
        <f>K6*L6</f>
        <v>2.016</v>
      </c>
      <c r="O6" s="38" t="str">
        <f>B5</f>
        <v>EPS 036</v>
      </c>
    </row>
    <row r="7" spans="1:15" ht="15" thickBot="1" x14ac:dyDescent="0.35">
      <c r="A7">
        <v>4.0999999999999996</v>
      </c>
      <c r="B7" s="336"/>
      <c r="C7" s="3">
        <v>4</v>
      </c>
      <c r="D7" s="3">
        <v>15</v>
      </c>
      <c r="E7" s="8">
        <f t="shared" si="2"/>
        <v>96</v>
      </c>
      <c r="F7" s="13">
        <v>6.4</v>
      </c>
      <c r="H7" s="249" t="s">
        <v>5</v>
      </c>
      <c r="I7" s="17">
        <v>25</v>
      </c>
      <c r="J7" s="18">
        <v>36.75</v>
      </c>
      <c r="K7" s="18">
        <f>J7/I7</f>
        <v>1.47</v>
      </c>
      <c r="L7" s="16">
        <v>4</v>
      </c>
      <c r="M7" s="24">
        <f>K7*L7</f>
        <v>5.88</v>
      </c>
      <c r="O7" s="38" t="str">
        <f>B16</f>
        <v>SILVERTECH 031</v>
      </c>
    </row>
    <row r="8" spans="1:15" ht="15" thickBot="1" x14ac:dyDescent="0.35">
      <c r="A8">
        <v>5.0999999999999996</v>
      </c>
      <c r="B8" s="336"/>
      <c r="C8" s="3">
        <v>5</v>
      </c>
      <c r="D8" s="3">
        <v>12</v>
      </c>
      <c r="E8" s="8">
        <f t="shared" si="2"/>
        <v>96</v>
      </c>
      <c r="F8" s="13">
        <v>8</v>
      </c>
      <c r="H8" s="258" t="s">
        <v>6</v>
      </c>
      <c r="I8" s="22">
        <v>25</v>
      </c>
      <c r="J8" s="23">
        <v>39.75</v>
      </c>
      <c r="K8" s="23">
        <f>J8/I8</f>
        <v>1.59</v>
      </c>
      <c r="L8" s="22">
        <v>4</v>
      </c>
      <c r="M8" s="25">
        <f>K8*L8</f>
        <v>6.36</v>
      </c>
      <c r="O8" s="38" t="str">
        <f>B54</f>
        <v>LIVINGTHERM 034</v>
      </c>
    </row>
    <row r="9" spans="1:15" ht="15" thickBot="1" x14ac:dyDescent="0.35">
      <c r="A9">
        <v>6.1</v>
      </c>
      <c r="B9" s="336"/>
      <c r="C9" s="3">
        <v>6</v>
      </c>
      <c r="D9" s="3">
        <v>10</v>
      </c>
      <c r="E9" s="8">
        <f t="shared" si="2"/>
        <v>96</v>
      </c>
      <c r="F9" s="13">
        <v>9.6</v>
      </c>
      <c r="O9" s="38" t="str">
        <f>B26</f>
        <v>GRAPHITHERM 031</v>
      </c>
    </row>
    <row r="10" spans="1:15" ht="15" customHeight="1" thickBot="1" x14ac:dyDescent="0.35">
      <c r="A10">
        <v>7.1</v>
      </c>
      <c r="B10" s="336"/>
      <c r="C10" s="3">
        <v>7</v>
      </c>
      <c r="D10" s="3">
        <v>8</v>
      </c>
      <c r="E10" s="8">
        <f t="shared" si="2"/>
        <v>89.6</v>
      </c>
      <c r="F10" s="13">
        <v>11.2</v>
      </c>
      <c r="H10" s="33" t="s">
        <v>11</v>
      </c>
      <c r="I10" s="19" t="s">
        <v>8</v>
      </c>
      <c r="J10" s="19" t="s">
        <v>9</v>
      </c>
      <c r="K10" s="20" t="s">
        <v>10</v>
      </c>
      <c r="L10" s="19" t="s">
        <v>20</v>
      </c>
      <c r="M10" s="21" t="s">
        <v>77</v>
      </c>
      <c r="O10" s="38" t="str">
        <f>B40</f>
        <v>LÃ DE ROCHA</v>
      </c>
    </row>
    <row r="11" spans="1:15" ht="15" customHeight="1" thickBot="1" x14ac:dyDescent="0.35">
      <c r="A11">
        <v>8.1</v>
      </c>
      <c r="B11" s="336"/>
      <c r="C11" s="3">
        <v>8</v>
      </c>
      <c r="D11" s="3">
        <v>7</v>
      </c>
      <c r="E11" s="8">
        <f t="shared" si="2"/>
        <v>89.600000000000009</v>
      </c>
      <c r="F11" s="13">
        <v>12.8</v>
      </c>
      <c r="H11" s="249" t="s">
        <v>4</v>
      </c>
      <c r="I11" s="17">
        <v>25</v>
      </c>
      <c r="J11" s="18">
        <v>23.95</v>
      </c>
      <c r="K11" s="18">
        <f>J11/I11</f>
        <v>0.95799999999999996</v>
      </c>
      <c r="L11" s="16">
        <v>6</v>
      </c>
      <c r="M11" s="24">
        <f>L11*K11</f>
        <v>5.7479999999999993</v>
      </c>
      <c r="O11" s="39" t="str">
        <f>B46</f>
        <v>CORTIÇA 040</v>
      </c>
    </row>
    <row r="12" spans="1:15" ht="15" customHeight="1" thickBot="1" x14ac:dyDescent="0.35">
      <c r="A12">
        <v>9.1</v>
      </c>
      <c r="B12" s="336"/>
      <c r="C12" s="3">
        <v>9</v>
      </c>
      <c r="D12" s="3">
        <v>6</v>
      </c>
      <c r="E12" s="8">
        <f t="shared" si="2"/>
        <v>86.4</v>
      </c>
      <c r="F12" s="13">
        <v>14.4</v>
      </c>
      <c r="H12" s="249" t="s">
        <v>101</v>
      </c>
      <c r="I12" s="26">
        <v>25</v>
      </c>
      <c r="J12" s="18">
        <v>21.9</v>
      </c>
      <c r="K12" s="18">
        <f t="shared" ref="K12:K13" si="3">J12/I12</f>
        <v>0.87599999999999989</v>
      </c>
      <c r="L12" s="16">
        <v>6.5</v>
      </c>
      <c r="M12" s="24">
        <f t="shared" ref="M12:M14" si="4">L12*K12</f>
        <v>5.6939999999999991</v>
      </c>
    </row>
    <row r="13" spans="1:15" ht="15" customHeight="1" thickBot="1" x14ac:dyDescent="0.35">
      <c r="A13">
        <v>10.1</v>
      </c>
      <c r="B13" s="336"/>
      <c r="C13" s="3">
        <v>10</v>
      </c>
      <c r="D13" s="3">
        <v>6</v>
      </c>
      <c r="E13" s="8">
        <f t="shared" si="2"/>
        <v>96</v>
      </c>
      <c r="F13" s="13">
        <v>16</v>
      </c>
      <c r="H13" s="249" t="s">
        <v>102</v>
      </c>
      <c r="I13" s="166">
        <v>25</v>
      </c>
      <c r="J13" s="18">
        <v>18.55</v>
      </c>
      <c r="K13" s="18">
        <f t="shared" si="3"/>
        <v>0.74199999999999999</v>
      </c>
      <c r="L13" s="6">
        <v>6.5</v>
      </c>
      <c r="M13" s="24">
        <f t="shared" si="4"/>
        <v>4.8230000000000004</v>
      </c>
      <c r="O13">
        <f>IF(CLASSIC!B5=Folha3!O6,CLASSIC!B6+0.1,IF(CLASSIC!B5=Folha3!O7,CLASSIC!B6+0.2,IF(CLASSIC!B5=Folha3!O9,CLASSIC!B6+0.3,IF(CLASSIC!B5=Folha3!O10,CLASSIC!B6+0.5,IF(CLASSIC!B5=Folha3!O11,CLASSIC!B6+0.6,IF(CLASSIC!B5=Folha3!O8,CLASSIC!B6+0.7,0))))))</f>
        <v>4.5</v>
      </c>
    </row>
    <row r="14" spans="1:15" ht="15" customHeight="1" thickBot="1" x14ac:dyDescent="0.35">
      <c r="A14">
        <v>11.1</v>
      </c>
      <c r="B14" s="336"/>
      <c r="C14" s="3">
        <v>11</v>
      </c>
      <c r="D14" s="3">
        <v>5</v>
      </c>
      <c r="E14" s="8">
        <f t="shared" si="2"/>
        <v>88</v>
      </c>
      <c r="F14" s="13">
        <v>17.600000000000001</v>
      </c>
      <c r="H14" s="257" t="s">
        <v>113</v>
      </c>
      <c r="I14" s="154">
        <v>25</v>
      </c>
      <c r="J14" s="155">
        <v>16.8</v>
      </c>
      <c r="K14" s="18">
        <f>J14/I14</f>
        <v>0.67200000000000004</v>
      </c>
      <c r="L14" s="156">
        <v>6</v>
      </c>
      <c r="M14" s="24">
        <f t="shared" si="4"/>
        <v>4.032</v>
      </c>
    </row>
    <row r="15" spans="1:15" ht="15.75" customHeight="1" thickBot="1" x14ac:dyDescent="0.35">
      <c r="A15">
        <v>12.1</v>
      </c>
      <c r="B15" s="337"/>
      <c r="C15" s="4">
        <v>12</v>
      </c>
      <c r="D15" s="4">
        <v>5</v>
      </c>
      <c r="E15" s="8">
        <f t="shared" si="2"/>
        <v>96</v>
      </c>
      <c r="F15" s="14">
        <v>19.2</v>
      </c>
      <c r="H15" s="249" t="s">
        <v>5</v>
      </c>
      <c r="I15" s="26">
        <v>25</v>
      </c>
      <c r="J15" s="18">
        <v>36.75</v>
      </c>
      <c r="K15" s="18">
        <f>J15/I15</f>
        <v>1.47</v>
      </c>
      <c r="L15" s="16">
        <v>6.5</v>
      </c>
      <c r="M15" s="24">
        <f>L15*K15</f>
        <v>9.5549999999999997</v>
      </c>
    </row>
    <row r="16" spans="1:15" ht="15" thickBot="1" x14ac:dyDescent="0.35">
      <c r="B16" s="335" t="s">
        <v>94</v>
      </c>
      <c r="C16" s="2"/>
      <c r="D16" s="2"/>
      <c r="E16" s="8"/>
      <c r="F16" s="12"/>
      <c r="H16" s="249" t="s">
        <v>6</v>
      </c>
      <c r="I16" s="17">
        <v>25</v>
      </c>
      <c r="J16" s="23">
        <v>39.75</v>
      </c>
      <c r="K16" s="18">
        <f>J16/I16</f>
        <v>1.59</v>
      </c>
      <c r="L16" s="16">
        <v>6</v>
      </c>
      <c r="M16" s="24">
        <f>L16*K16</f>
        <v>9.5400000000000009</v>
      </c>
    </row>
    <row r="17" spans="1:17" ht="15" thickBot="1" x14ac:dyDescent="0.35">
      <c r="A17">
        <v>6.2</v>
      </c>
      <c r="B17" s="336"/>
      <c r="C17" s="3">
        <v>6</v>
      </c>
      <c r="D17" s="3">
        <v>5</v>
      </c>
      <c r="E17" s="9">
        <f t="shared" ref="E17:E24" si="5">F17*D17</f>
        <v>63</v>
      </c>
      <c r="F17" s="13">
        <v>12.6</v>
      </c>
      <c r="H17" s="258" t="s">
        <v>38</v>
      </c>
      <c r="I17" s="28">
        <v>25</v>
      </c>
      <c r="J17" s="23">
        <v>107</v>
      </c>
      <c r="K17" s="29">
        <f>J17/I17</f>
        <v>4.28</v>
      </c>
      <c r="L17" s="22">
        <v>6</v>
      </c>
      <c r="M17" s="25">
        <f>L17*K17</f>
        <v>25.68</v>
      </c>
    </row>
    <row r="18" spans="1:17" x14ac:dyDescent="0.3">
      <c r="A18">
        <v>8.1999999999999993</v>
      </c>
      <c r="B18" s="336"/>
      <c r="C18" s="3">
        <v>8</v>
      </c>
      <c r="D18" s="3">
        <v>3.5</v>
      </c>
      <c r="E18" s="9">
        <f t="shared" si="5"/>
        <v>58.800000000000004</v>
      </c>
      <c r="F18" s="13">
        <v>16.8</v>
      </c>
    </row>
    <row r="19" spans="1:17" ht="15" thickBot="1" x14ac:dyDescent="0.35">
      <c r="A19">
        <v>10.199999999999999</v>
      </c>
      <c r="B19" s="336"/>
      <c r="C19" s="3">
        <v>10</v>
      </c>
      <c r="D19" s="3">
        <v>3</v>
      </c>
      <c r="E19" s="9">
        <f t="shared" si="5"/>
        <v>63</v>
      </c>
      <c r="F19" s="13">
        <v>21</v>
      </c>
    </row>
    <row r="20" spans="1:17" ht="16.2" x14ac:dyDescent="0.3">
      <c r="A20">
        <v>12.2</v>
      </c>
      <c r="B20" s="336"/>
      <c r="C20" s="3">
        <v>12</v>
      </c>
      <c r="D20" s="3">
        <v>2.5</v>
      </c>
      <c r="E20" s="9">
        <f t="shared" si="5"/>
        <v>63</v>
      </c>
      <c r="F20" s="13">
        <v>25.2</v>
      </c>
      <c r="H20" s="33" t="s">
        <v>12</v>
      </c>
      <c r="I20" s="32" t="s">
        <v>30</v>
      </c>
      <c r="J20" s="20" t="s">
        <v>107</v>
      </c>
      <c r="K20" s="35" t="s">
        <v>13</v>
      </c>
      <c r="L20" s="20" t="s">
        <v>14</v>
      </c>
      <c r="M20" s="20" t="s">
        <v>21</v>
      </c>
      <c r="N20" s="21" t="s">
        <v>77</v>
      </c>
    </row>
    <row r="21" spans="1:17" x14ac:dyDescent="0.3">
      <c r="A21">
        <v>14.2</v>
      </c>
      <c r="B21" s="336"/>
      <c r="C21" s="3">
        <v>14</v>
      </c>
      <c r="D21" s="3">
        <v>2</v>
      </c>
      <c r="E21" s="9">
        <f t="shared" si="5"/>
        <v>58.8</v>
      </c>
      <c r="F21" s="13">
        <v>29.4</v>
      </c>
      <c r="H21" s="249" t="s">
        <v>15</v>
      </c>
      <c r="I21" s="30" t="s">
        <v>32</v>
      </c>
      <c r="J21" s="45">
        <v>16</v>
      </c>
      <c r="K21" s="18">
        <v>112.48</v>
      </c>
      <c r="L21" s="18">
        <f>K21/J21</f>
        <v>7.03</v>
      </c>
      <c r="M21" s="44">
        <v>25</v>
      </c>
      <c r="N21" s="24">
        <f>L21/M21</f>
        <v>0.28120000000000001</v>
      </c>
    </row>
    <row r="22" spans="1:17" x14ac:dyDescent="0.3">
      <c r="A22">
        <v>16.2</v>
      </c>
      <c r="B22" s="336"/>
      <c r="C22" s="3">
        <v>16</v>
      </c>
      <c r="D22" s="3">
        <v>1.5</v>
      </c>
      <c r="E22" s="9">
        <f t="shared" si="5"/>
        <v>50.400000000000006</v>
      </c>
      <c r="F22" s="13">
        <v>33.6</v>
      </c>
      <c r="H22" s="332" t="s">
        <v>17</v>
      </c>
      <c r="I22" s="30" t="s">
        <v>31</v>
      </c>
      <c r="J22" s="44">
        <v>14</v>
      </c>
      <c r="K22" s="18">
        <v>75.739999999999995</v>
      </c>
      <c r="L22" s="18">
        <f t="shared" ref="L22:L25" si="6">K22/J22</f>
        <v>5.4099999999999993</v>
      </c>
      <c r="M22" s="44">
        <v>6</v>
      </c>
      <c r="N22" s="24">
        <f t="shared" ref="N22:N25" si="7">L22/M22</f>
        <v>0.90166666666666651</v>
      </c>
      <c r="O22" t="s">
        <v>15</v>
      </c>
    </row>
    <row r="23" spans="1:17" x14ac:dyDescent="0.3">
      <c r="A23">
        <v>18.2</v>
      </c>
      <c r="B23" s="336"/>
      <c r="C23" s="3">
        <v>18</v>
      </c>
      <c r="D23" s="3">
        <v>1.5</v>
      </c>
      <c r="E23" s="9">
        <f t="shared" si="5"/>
        <v>56.699999999999996</v>
      </c>
      <c r="F23" s="13">
        <v>37.799999999999997</v>
      </c>
      <c r="H23" s="333"/>
      <c r="I23" s="30" t="s">
        <v>33</v>
      </c>
      <c r="J23" s="26">
        <v>14</v>
      </c>
      <c r="K23" s="18">
        <v>84.7</v>
      </c>
      <c r="L23" s="18">
        <f t="shared" si="6"/>
        <v>6.05</v>
      </c>
      <c r="M23" s="44">
        <v>6</v>
      </c>
      <c r="N23" s="24">
        <f t="shared" si="7"/>
        <v>1.0083333333333333</v>
      </c>
      <c r="O23" t="s">
        <v>17</v>
      </c>
    </row>
    <row r="24" spans="1:17" x14ac:dyDescent="0.3">
      <c r="A24">
        <v>20.2</v>
      </c>
      <c r="B24" s="336"/>
      <c r="C24" s="3">
        <v>20</v>
      </c>
      <c r="D24" s="3">
        <v>1.5</v>
      </c>
      <c r="E24" s="9">
        <f t="shared" si="5"/>
        <v>63</v>
      </c>
      <c r="F24" s="13">
        <v>42</v>
      </c>
      <c r="H24" s="333"/>
      <c r="I24" s="30" t="s">
        <v>34</v>
      </c>
      <c r="J24" s="40">
        <v>14</v>
      </c>
      <c r="K24" s="18">
        <v>99.68</v>
      </c>
      <c r="L24" s="18">
        <f t="shared" si="6"/>
        <v>7.12</v>
      </c>
      <c r="M24" s="44">
        <v>6</v>
      </c>
      <c r="N24" s="24">
        <f t="shared" si="7"/>
        <v>1.1866666666666668</v>
      </c>
      <c r="O24" t="s">
        <v>16</v>
      </c>
    </row>
    <row r="25" spans="1:17" ht="15" thickBot="1" x14ac:dyDescent="0.35">
      <c r="A25">
        <v>24.2</v>
      </c>
      <c r="B25" s="337"/>
      <c r="C25" s="4"/>
      <c r="D25" s="4"/>
      <c r="E25" s="4"/>
      <c r="F25" s="238"/>
      <c r="H25" s="334"/>
      <c r="I25" s="153" t="s">
        <v>35</v>
      </c>
      <c r="J25" s="154">
        <v>14</v>
      </c>
      <c r="K25" s="155">
        <v>179.2</v>
      </c>
      <c r="L25" s="155">
        <f t="shared" si="6"/>
        <v>12.799999999999999</v>
      </c>
      <c r="M25" s="156">
        <v>6</v>
      </c>
      <c r="N25" s="157">
        <f t="shared" si="7"/>
        <v>2.1333333333333333</v>
      </c>
      <c r="O25" t="s">
        <v>18</v>
      </c>
      <c r="P25" s="46">
        <v>1</v>
      </c>
    </row>
    <row r="26" spans="1:17" x14ac:dyDescent="0.3">
      <c r="A26">
        <v>2.2999999999999998</v>
      </c>
      <c r="B26" s="335" t="s">
        <v>161</v>
      </c>
      <c r="C26" s="5">
        <v>2</v>
      </c>
      <c r="D26" s="5">
        <v>30</v>
      </c>
      <c r="E26" s="8">
        <f t="shared" ref="E26" si="8">F26*D26</f>
        <v>117</v>
      </c>
      <c r="F26" s="12">
        <v>3.9</v>
      </c>
      <c r="H26" s="249" t="s">
        <v>16</v>
      </c>
      <c r="I26" s="30" t="s">
        <v>32</v>
      </c>
      <c r="J26" s="45">
        <v>16</v>
      </c>
      <c r="K26" s="18">
        <v>167.52</v>
      </c>
      <c r="L26" s="18">
        <f>K26/J26</f>
        <v>10.47</v>
      </c>
      <c r="M26" s="44">
        <v>7</v>
      </c>
      <c r="N26" s="24">
        <f>L26/M26</f>
        <v>1.4957142857142858</v>
      </c>
      <c r="O26" t="s">
        <v>19</v>
      </c>
      <c r="P26" s="46">
        <v>1.5</v>
      </c>
    </row>
    <row r="27" spans="1:17" x14ac:dyDescent="0.3">
      <c r="A27">
        <v>3.3</v>
      </c>
      <c r="B27" s="336"/>
      <c r="C27" s="6">
        <v>3</v>
      </c>
      <c r="D27" s="6">
        <v>20</v>
      </c>
      <c r="E27" s="9">
        <f t="shared" ref="E27:E30" si="9">F27*D27</f>
        <v>117</v>
      </c>
      <c r="F27" s="13">
        <v>5.85</v>
      </c>
      <c r="H27" s="249" t="s">
        <v>18</v>
      </c>
      <c r="I27" s="30" t="s">
        <v>32</v>
      </c>
      <c r="J27" s="44">
        <v>16</v>
      </c>
      <c r="K27" s="18">
        <v>127.04</v>
      </c>
      <c r="L27" s="18">
        <f>K27/J27</f>
        <v>7.94</v>
      </c>
      <c r="M27" s="44">
        <v>7</v>
      </c>
      <c r="N27" s="24">
        <f>L27/M27</f>
        <v>1.1342857142857143</v>
      </c>
      <c r="P27" s="46">
        <v>2</v>
      </c>
    </row>
    <row r="28" spans="1:17" ht="15" thickBot="1" x14ac:dyDescent="0.35">
      <c r="A28">
        <v>4.3</v>
      </c>
      <c r="B28" s="336"/>
      <c r="C28" s="6">
        <v>4</v>
      </c>
      <c r="D28" s="6">
        <v>15</v>
      </c>
      <c r="E28" s="9">
        <f t="shared" si="9"/>
        <v>117</v>
      </c>
      <c r="F28" s="13">
        <v>7.8</v>
      </c>
      <c r="H28" s="258" t="s">
        <v>19</v>
      </c>
      <c r="I28" s="31" t="s">
        <v>31</v>
      </c>
      <c r="J28" s="28">
        <v>14</v>
      </c>
      <c r="K28" s="23">
        <v>195.3</v>
      </c>
      <c r="L28" s="23">
        <f>K28/J28</f>
        <v>13.950000000000001</v>
      </c>
      <c r="M28" s="22">
        <v>4</v>
      </c>
      <c r="N28" s="25">
        <f>L28/M28</f>
        <v>3.4875000000000003</v>
      </c>
    </row>
    <row r="29" spans="1:17" x14ac:dyDescent="0.3">
      <c r="A29">
        <v>5.3</v>
      </c>
      <c r="B29" s="336"/>
      <c r="C29" s="6">
        <v>5</v>
      </c>
      <c r="D29" s="6">
        <v>12</v>
      </c>
      <c r="E29" s="9">
        <f t="shared" si="9"/>
        <v>117</v>
      </c>
      <c r="F29" s="13">
        <v>9.75</v>
      </c>
      <c r="H29" s="1"/>
      <c r="I29" s="1"/>
      <c r="J29" s="11"/>
      <c r="K29" s="1"/>
      <c r="L29" s="1"/>
      <c r="M29" s="1"/>
    </row>
    <row r="30" spans="1:17" ht="15" thickBot="1" x14ac:dyDescent="0.35">
      <c r="A30">
        <v>6.3</v>
      </c>
      <c r="B30" s="336"/>
      <c r="C30" s="6">
        <v>6</v>
      </c>
      <c r="D30" s="6">
        <v>10</v>
      </c>
      <c r="E30" s="9">
        <f t="shared" si="9"/>
        <v>117</v>
      </c>
      <c r="F30" s="13">
        <v>11.7</v>
      </c>
    </row>
    <row r="31" spans="1:17" ht="16.2" x14ac:dyDescent="0.3">
      <c r="A31">
        <v>7.3</v>
      </c>
      <c r="B31" s="336"/>
      <c r="C31" s="6">
        <v>8</v>
      </c>
      <c r="D31" s="6">
        <v>7</v>
      </c>
      <c r="E31" s="9">
        <f>F31*D31</f>
        <v>109.2</v>
      </c>
      <c r="F31" s="13">
        <v>15.6</v>
      </c>
      <c r="H31" s="34" t="s">
        <v>22</v>
      </c>
      <c r="I31" s="43" t="s">
        <v>30</v>
      </c>
      <c r="J31" s="20" t="s">
        <v>8</v>
      </c>
      <c r="K31" s="35" t="s">
        <v>13</v>
      </c>
      <c r="L31" s="20" t="s">
        <v>10</v>
      </c>
      <c r="M31" s="41" t="s">
        <v>29</v>
      </c>
      <c r="N31" s="20" t="s">
        <v>20</v>
      </c>
      <c r="O31" s="21" t="s">
        <v>77</v>
      </c>
    </row>
    <row r="32" spans="1:17" x14ac:dyDescent="0.3">
      <c r="A32">
        <v>8.3000000000000007</v>
      </c>
      <c r="B32" s="336"/>
      <c r="C32" s="6">
        <v>10</v>
      </c>
      <c r="D32" s="6">
        <v>8</v>
      </c>
      <c r="E32" s="9">
        <f>F32*D32</f>
        <v>156</v>
      </c>
      <c r="F32" s="13">
        <v>19.5</v>
      </c>
      <c r="G32">
        <v>111</v>
      </c>
      <c r="H32" s="249" t="s">
        <v>23</v>
      </c>
      <c r="I32" s="40" t="s">
        <v>31</v>
      </c>
      <c r="J32" s="44">
        <v>25</v>
      </c>
      <c r="K32" s="18">
        <v>141.5</v>
      </c>
      <c r="L32" s="18">
        <f>ROUND(K32/J32,2)</f>
        <v>5.66</v>
      </c>
      <c r="M32" s="40">
        <v>1</v>
      </c>
      <c r="N32" s="44">
        <v>2</v>
      </c>
      <c r="O32" s="24">
        <f>ROUND(N32*L32,2)</f>
        <v>11.32</v>
      </c>
      <c r="P32" t="s">
        <v>23</v>
      </c>
      <c r="Q32" t="s">
        <v>71</v>
      </c>
    </row>
    <row r="33" spans="1:19" x14ac:dyDescent="0.3">
      <c r="A33">
        <v>9.3000000000000007</v>
      </c>
      <c r="B33" s="336"/>
      <c r="C33" s="6">
        <v>12</v>
      </c>
      <c r="D33" s="6">
        <v>5</v>
      </c>
      <c r="E33" s="9">
        <f>F33*D33</f>
        <v>117</v>
      </c>
      <c r="F33" s="13">
        <v>23.4</v>
      </c>
      <c r="G33">
        <v>112</v>
      </c>
      <c r="H33" s="249" t="s">
        <v>23</v>
      </c>
      <c r="I33" s="40" t="s">
        <v>31</v>
      </c>
      <c r="J33" s="44">
        <v>25</v>
      </c>
      <c r="K33" s="18">
        <v>141.5</v>
      </c>
      <c r="L33" s="18">
        <f t="shared" ref="L33:L46" si="10">ROUND(K33/J33,2)</f>
        <v>5.66</v>
      </c>
      <c r="M33" s="40">
        <v>1.5</v>
      </c>
      <c r="N33" s="30">
        <v>2.2999999999999998</v>
      </c>
      <c r="O33" s="24">
        <f t="shared" ref="O33:O46" si="11">ROUND(N33*L33,2)</f>
        <v>13.02</v>
      </c>
      <c r="P33" t="s">
        <v>24</v>
      </c>
      <c r="Q33" t="s">
        <v>72</v>
      </c>
    </row>
    <row r="34" spans="1:19" ht="15" thickBot="1" x14ac:dyDescent="0.35">
      <c r="A34">
        <v>10.3</v>
      </c>
      <c r="B34" s="337"/>
      <c r="C34" s="7">
        <v>14</v>
      </c>
      <c r="D34" s="7">
        <v>4</v>
      </c>
      <c r="E34" s="10">
        <f>F34*D34</f>
        <v>109.2</v>
      </c>
      <c r="F34" s="14">
        <v>27.3</v>
      </c>
      <c r="G34">
        <v>113</v>
      </c>
      <c r="H34" s="249" t="s">
        <v>23</v>
      </c>
      <c r="I34" s="40" t="s">
        <v>31</v>
      </c>
      <c r="J34" s="44">
        <v>25</v>
      </c>
      <c r="K34" s="18">
        <v>141.5</v>
      </c>
      <c r="L34" s="18">
        <f t="shared" si="10"/>
        <v>5.66</v>
      </c>
      <c r="M34" s="40">
        <v>2</v>
      </c>
      <c r="N34" s="30">
        <v>2.6</v>
      </c>
      <c r="O34" s="24">
        <f t="shared" si="11"/>
        <v>14.72</v>
      </c>
      <c r="P34" t="s">
        <v>25</v>
      </c>
      <c r="Q34" t="s">
        <v>73</v>
      </c>
    </row>
    <row r="35" spans="1:19" x14ac:dyDescent="0.3">
      <c r="A35">
        <v>11.3</v>
      </c>
      <c r="B35" s="239"/>
      <c r="G35">
        <v>121</v>
      </c>
      <c r="H35" s="249" t="s">
        <v>23</v>
      </c>
      <c r="I35" s="40" t="s">
        <v>33</v>
      </c>
      <c r="J35" s="44">
        <v>25</v>
      </c>
      <c r="K35" s="18">
        <v>155.5</v>
      </c>
      <c r="L35" s="18">
        <f t="shared" si="10"/>
        <v>6.22</v>
      </c>
      <c r="M35" s="30">
        <v>1</v>
      </c>
      <c r="N35" s="44">
        <v>2</v>
      </c>
      <c r="O35" s="24">
        <f t="shared" si="11"/>
        <v>12.44</v>
      </c>
      <c r="P35" t="s">
        <v>26</v>
      </c>
      <c r="Q35" t="s">
        <v>71</v>
      </c>
    </row>
    <row r="36" spans="1:19" ht="15" thickBot="1" x14ac:dyDescent="0.35">
      <c r="A36">
        <v>12.3</v>
      </c>
      <c r="B36" s="240"/>
      <c r="G36">
        <v>122</v>
      </c>
      <c r="H36" s="249" t="s">
        <v>23</v>
      </c>
      <c r="I36" s="40" t="s">
        <v>33</v>
      </c>
      <c r="J36" s="44">
        <v>25</v>
      </c>
      <c r="K36" s="18">
        <v>155.5</v>
      </c>
      <c r="L36" s="18">
        <f t="shared" si="10"/>
        <v>6.22</v>
      </c>
      <c r="M36" s="30">
        <v>1.5</v>
      </c>
      <c r="N36" s="30">
        <v>2.2999999999999998</v>
      </c>
      <c r="O36" s="24">
        <f t="shared" si="11"/>
        <v>14.31</v>
      </c>
      <c r="P36" t="s">
        <v>27</v>
      </c>
      <c r="Q36" t="s">
        <v>72</v>
      </c>
    </row>
    <row r="37" spans="1:19" x14ac:dyDescent="0.3">
      <c r="A37">
        <v>4.4000000000000004</v>
      </c>
      <c r="B37" s="338"/>
      <c r="C37" s="5"/>
      <c r="D37" s="5"/>
      <c r="E37" s="8"/>
      <c r="F37" s="12"/>
      <c r="G37">
        <v>123</v>
      </c>
      <c r="H37" s="249" t="s">
        <v>23</v>
      </c>
      <c r="I37" s="40" t="s">
        <v>33</v>
      </c>
      <c r="J37" s="44">
        <v>25</v>
      </c>
      <c r="K37" s="18">
        <v>155.5</v>
      </c>
      <c r="L37" s="18">
        <f t="shared" si="10"/>
        <v>6.22</v>
      </c>
      <c r="M37" s="30">
        <v>2</v>
      </c>
      <c r="N37" s="30">
        <v>2.6</v>
      </c>
      <c r="O37" s="24">
        <f t="shared" si="11"/>
        <v>16.170000000000002</v>
      </c>
      <c r="P37" s="47" t="s">
        <v>114</v>
      </c>
      <c r="Q37" t="s">
        <v>73</v>
      </c>
    </row>
    <row r="38" spans="1:19" x14ac:dyDescent="0.3">
      <c r="B38" s="339"/>
      <c r="C38" s="6"/>
      <c r="D38" s="6"/>
      <c r="E38" s="9"/>
      <c r="F38" s="13"/>
      <c r="G38">
        <v>131</v>
      </c>
      <c r="H38" s="249" t="s">
        <v>23</v>
      </c>
      <c r="I38" s="40" t="s">
        <v>34</v>
      </c>
      <c r="J38" s="44">
        <v>25</v>
      </c>
      <c r="K38" s="18">
        <v>183.25</v>
      </c>
      <c r="L38" s="18">
        <f t="shared" si="10"/>
        <v>7.33</v>
      </c>
      <c r="M38" s="30">
        <v>1</v>
      </c>
      <c r="N38" s="44">
        <v>2</v>
      </c>
      <c r="O38" s="24">
        <f t="shared" si="11"/>
        <v>14.66</v>
      </c>
      <c r="Q38" t="s">
        <v>71</v>
      </c>
    </row>
    <row r="39" spans="1:19" ht="15" thickBot="1" x14ac:dyDescent="0.35">
      <c r="B39" s="340"/>
      <c r="C39" s="7"/>
      <c r="D39" s="7"/>
      <c r="E39" s="10"/>
      <c r="F39" s="14"/>
      <c r="G39">
        <v>132</v>
      </c>
      <c r="H39" s="249" t="s">
        <v>23</v>
      </c>
      <c r="I39" s="40" t="s">
        <v>34</v>
      </c>
      <c r="J39" s="44">
        <v>25</v>
      </c>
      <c r="K39" s="18">
        <v>183.25</v>
      </c>
      <c r="L39" s="18">
        <f t="shared" si="10"/>
        <v>7.33</v>
      </c>
      <c r="M39" s="30">
        <v>1.5</v>
      </c>
      <c r="N39" s="30">
        <v>2.2999999999999998</v>
      </c>
      <c r="O39" s="24">
        <f t="shared" si="11"/>
        <v>16.86</v>
      </c>
      <c r="P39" t="s">
        <v>31</v>
      </c>
      <c r="Q39" t="s">
        <v>72</v>
      </c>
    </row>
    <row r="40" spans="1:19" x14ac:dyDescent="0.3">
      <c r="A40">
        <v>4.5</v>
      </c>
      <c r="B40" s="335" t="s">
        <v>162</v>
      </c>
      <c r="C40" s="2">
        <v>4</v>
      </c>
      <c r="D40" s="2">
        <v>3.6</v>
      </c>
      <c r="E40" s="8">
        <f>D40*F40</f>
        <v>64.8</v>
      </c>
      <c r="F40" s="13">
        <v>18</v>
      </c>
      <c r="G40">
        <v>133</v>
      </c>
      <c r="H40" s="249" t="s">
        <v>23</v>
      </c>
      <c r="I40" s="40" t="s">
        <v>34</v>
      </c>
      <c r="J40" s="44">
        <v>25</v>
      </c>
      <c r="K40" s="18">
        <v>183.25</v>
      </c>
      <c r="L40" s="18">
        <f t="shared" si="10"/>
        <v>7.33</v>
      </c>
      <c r="M40" s="30">
        <v>2</v>
      </c>
      <c r="N40" s="30">
        <v>2.6</v>
      </c>
      <c r="O40" s="24">
        <f t="shared" si="11"/>
        <v>19.059999999999999</v>
      </c>
      <c r="P40" t="s">
        <v>33</v>
      </c>
      <c r="Q40" t="s">
        <v>73</v>
      </c>
    </row>
    <row r="41" spans="1:19" x14ac:dyDescent="0.3">
      <c r="A41">
        <v>5.5</v>
      </c>
      <c r="B41" s="336"/>
      <c r="C41" s="6">
        <v>5</v>
      </c>
      <c r="D41" s="6">
        <v>4.2</v>
      </c>
      <c r="E41" s="9">
        <f t="shared" ref="E41:E44" si="12">D41*F41</f>
        <v>94.5</v>
      </c>
      <c r="F41" s="13">
        <v>22.5</v>
      </c>
      <c r="G41">
        <v>141</v>
      </c>
      <c r="H41" s="249" t="s">
        <v>23</v>
      </c>
      <c r="I41" s="40" t="s">
        <v>35</v>
      </c>
      <c r="J41" s="44">
        <v>25</v>
      </c>
      <c r="K41" s="18">
        <v>211.5</v>
      </c>
      <c r="L41" s="18">
        <f t="shared" si="10"/>
        <v>8.4600000000000009</v>
      </c>
      <c r="M41" s="30">
        <v>1</v>
      </c>
      <c r="N41" s="44">
        <v>2</v>
      </c>
      <c r="O41" s="24">
        <f t="shared" si="11"/>
        <v>16.920000000000002</v>
      </c>
      <c r="P41" t="s">
        <v>34</v>
      </c>
      <c r="Q41" t="s">
        <v>71</v>
      </c>
    </row>
    <row r="42" spans="1:19" x14ac:dyDescent="0.3">
      <c r="A42">
        <v>6.5</v>
      </c>
      <c r="B42" s="336"/>
      <c r="C42" s="6">
        <v>6</v>
      </c>
      <c r="D42" s="6">
        <v>3</v>
      </c>
      <c r="E42" s="9">
        <f t="shared" si="12"/>
        <v>81</v>
      </c>
      <c r="F42" s="13">
        <v>27</v>
      </c>
      <c r="G42">
        <v>142</v>
      </c>
      <c r="H42" s="249" t="s">
        <v>23</v>
      </c>
      <c r="I42" s="40" t="s">
        <v>35</v>
      </c>
      <c r="J42" s="44">
        <v>25</v>
      </c>
      <c r="K42" s="18">
        <v>211.5</v>
      </c>
      <c r="L42" s="18">
        <f t="shared" si="10"/>
        <v>8.4600000000000009</v>
      </c>
      <c r="M42" s="30">
        <v>1.5</v>
      </c>
      <c r="N42" s="30">
        <v>2.2999999999999998</v>
      </c>
      <c r="O42" s="24">
        <f t="shared" si="11"/>
        <v>19.46</v>
      </c>
      <c r="P42" t="s">
        <v>35</v>
      </c>
      <c r="Q42" t="s">
        <v>72</v>
      </c>
    </row>
    <row r="43" spans="1:19" x14ac:dyDescent="0.3">
      <c r="A43">
        <v>8.5</v>
      </c>
      <c r="B43" s="336"/>
      <c r="C43" s="6">
        <v>8</v>
      </c>
      <c r="D43" s="6">
        <v>2.4</v>
      </c>
      <c r="E43" s="9">
        <f t="shared" si="12"/>
        <v>86.399999999999991</v>
      </c>
      <c r="F43" s="13">
        <v>36</v>
      </c>
      <c r="G43">
        <v>143</v>
      </c>
      <c r="H43" s="249" t="s">
        <v>23</v>
      </c>
      <c r="I43" s="40" t="s">
        <v>35</v>
      </c>
      <c r="J43" s="44">
        <v>25</v>
      </c>
      <c r="K43" s="18">
        <v>211.5</v>
      </c>
      <c r="L43" s="18">
        <f t="shared" si="10"/>
        <v>8.4600000000000009</v>
      </c>
      <c r="M43" s="30">
        <v>2</v>
      </c>
      <c r="N43" s="30">
        <v>2.6</v>
      </c>
      <c r="O43" s="24">
        <f t="shared" si="11"/>
        <v>22</v>
      </c>
      <c r="P43" t="s">
        <v>36</v>
      </c>
      <c r="Q43" t="s">
        <v>73</v>
      </c>
    </row>
    <row r="44" spans="1:19" x14ac:dyDescent="0.3">
      <c r="A44">
        <v>10.5</v>
      </c>
      <c r="B44" s="336"/>
      <c r="C44" s="6">
        <v>10</v>
      </c>
      <c r="D44" s="6">
        <v>1.8</v>
      </c>
      <c r="E44" s="9">
        <f t="shared" si="12"/>
        <v>81</v>
      </c>
      <c r="F44" s="13">
        <v>45</v>
      </c>
      <c r="G44">
        <v>151</v>
      </c>
      <c r="H44" s="249" t="s">
        <v>23</v>
      </c>
      <c r="I44" s="40" t="s">
        <v>36</v>
      </c>
      <c r="J44" s="44">
        <v>25</v>
      </c>
      <c r="K44" s="27">
        <v>253.75</v>
      </c>
      <c r="L44" s="27">
        <f t="shared" si="10"/>
        <v>10.15</v>
      </c>
      <c r="M44" s="30">
        <v>1</v>
      </c>
      <c r="N44" s="44">
        <v>2</v>
      </c>
      <c r="O44" s="24">
        <f t="shared" si="11"/>
        <v>20.3</v>
      </c>
      <c r="P44" t="s">
        <v>37</v>
      </c>
      <c r="Q44" t="s">
        <v>71</v>
      </c>
      <c r="S44" t="s">
        <v>140</v>
      </c>
    </row>
    <row r="45" spans="1:19" ht="15" thickBot="1" x14ac:dyDescent="0.35">
      <c r="A45">
        <v>12.5</v>
      </c>
      <c r="B45" s="336"/>
      <c r="C45" s="3">
        <v>12</v>
      </c>
      <c r="D45" s="3">
        <v>1.2</v>
      </c>
      <c r="E45" s="9">
        <f>D45*F45</f>
        <v>64.8</v>
      </c>
      <c r="F45" s="13">
        <v>54</v>
      </c>
      <c r="G45">
        <v>152</v>
      </c>
      <c r="H45" s="249" t="s">
        <v>23</v>
      </c>
      <c r="I45" s="40" t="s">
        <v>36</v>
      </c>
      <c r="J45" s="44">
        <v>25</v>
      </c>
      <c r="K45" s="27">
        <v>253.75</v>
      </c>
      <c r="L45" s="27">
        <f t="shared" si="10"/>
        <v>10.15</v>
      </c>
      <c r="M45" s="30">
        <v>1.5</v>
      </c>
      <c r="N45" s="30">
        <v>2.2999999999999998</v>
      </c>
      <c r="O45" s="24">
        <f t="shared" si="11"/>
        <v>23.35</v>
      </c>
      <c r="P45">
        <f>IF(CLASSIC!B15=Folha3!P32,100,IF(CLASSIC!B15=Folha3!P33,200,IF(CLASSIC!B15=Folha3!P34,300,IF(CLASSIC!B15=Folha3!P35,400,IF(CLASSIC!B15=Folha3!P36,500,IF(CLASSIC!B15=Folha3!P37,600,0))))))</f>
        <v>200</v>
      </c>
      <c r="Q45" t="s">
        <v>72</v>
      </c>
      <c r="S45">
        <f>IF(VELLUTO!B15=Folha3!P32,100,IF(VELLUTO!B15=Folha3!P33,200,IF(VELLUTO!B15=Folha3!P34,300,0)))</f>
        <v>200</v>
      </c>
    </row>
    <row r="46" spans="1:19" x14ac:dyDescent="0.3">
      <c r="A46">
        <v>2.6</v>
      </c>
      <c r="B46" s="335" t="s">
        <v>163</v>
      </c>
      <c r="C46" s="5">
        <v>2</v>
      </c>
      <c r="D46" s="5">
        <v>7.5</v>
      </c>
      <c r="E46" s="8">
        <f>F46*D46</f>
        <v>156</v>
      </c>
      <c r="F46" s="12">
        <v>20.8</v>
      </c>
      <c r="G46">
        <v>153</v>
      </c>
      <c r="H46" s="249" t="s">
        <v>23</v>
      </c>
      <c r="I46" s="40" t="s">
        <v>36</v>
      </c>
      <c r="J46" s="44">
        <v>25</v>
      </c>
      <c r="K46" s="27">
        <v>253.75</v>
      </c>
      <c r="L46" s="27">
        <f t="shared" si="10"/>
        <v>10.15</v>
      </c>
      <c r="M46" s="30">
        <v>2</v>
      </c>
      <c r="N46" s="30">
        <v>2.6</v>
      </c>
      <c r="O46" s="24">
        <f t="shared" si="11"/>
        <v>26.39</v>
      </c>
      <c r="P46">
        <f>IF(CLASSIC!B16=Folha3!P39,10,IF(CLASSIC!B16=Folha3!P40,20,IF(CLASSIC!B16=Folha3!P41,30,IF(CLASSIC!B16=Folha3!P42,40,IF(CLASSIC!B16=Folha3!P43,50,IF(CLASSIC!B16=Folha3!P44,60,0))))))</f>
        <v>10</v>
      </c>
      <c r="Q46" t="s">
        <v>73</v>
      </c>
      <c r="S46">
        <f>IF(VELLUTO!B16=Folha3!P39,10,IF(VELLUTO!B16=Folha3!P40,20,IF(VELLUTO!B16=Folha3!P41,30,IF(VELLUTO!B16=Folha3!P42,40,IF(VELLUTO!B16=Folha3!P43,50,IF(VELLUTO!B16=Folha3!P44,60,0))))))</f>
        <v>10</v>
      </c>
    </row>
    <row r="47" spans="1:19" x14ac:dyDescent="0.3">
      <c r="A47">
        <v>3.6</v>
      </c>
      <c r="B47" s="336"/>
      <c r="C47" s="6">
        <v>3</v>
      </c>
      <c r="D47" s="6">
        <v>5</v>
      </c>
      <c r="E47" s="9">
        <f t="shared" ref="E47:E53" si="13">F47*D47</f>
        <v>156</v>
      </c>
      <c r="F47" s="13">
        <v>31.2</v>
      </c>
      <c r="G47">
        <v>211</v>
      </c>
      <c r="H47" s="249" t="s">
        <v>24</v>
      </c>
      <c r="I47" s="44" t="s">
        <v>31</v>
      </c>
      <c r="J47" s="45">
        <v>25</v>
      </c>
      <c r="K47" s="18">
        <v>99.25</v>
      </c>
      <c r="L47" s="18">
        <f t="shared" ref="L47:L78" si="14">ROUND(K47/J47,2)</f>
        <v>3.97</v>
      </c>
      <c r="M47" s="30">
        <v>1</v>
      </c>
      <c r="N47" s="42">
        <v>2</v>
      </c>
      <c r="O47" s="24">
        <f t="shared" ref="O47:O78" si="15">ROUND(N47*L47,2)</f>
        <v>7.94</v>
      </c>
      <c r="P47">
        <f>IF(CLASSIC!B17=Folha3!P25,1,IF(CLASSIC!B17=Folha3!P26,2,IF(CLASSIC!B17=Folha3!P27,3,0)))</f>
        <v>1</v>
      </c>
      <c r="Q47" t="s">
        <v>71</v>
      </c>
      <c r="S47">
        <v>1</v>
      </c>
    </row>
    <row r="48" spans="1:19" x14ac:dyDescent="0.3">
      <c r="A48">
        <v>4.5999999999999996</v>
      </c>
      <c r="B48" s="336"/>
      <c r="C48" s="6">
        <v>4</v>
      </c>
      <c r="D48" s="6">
        <v>4</v>
      </c>
      <c r="E48" s="9">
        <f t="shared" si="13"/>
        <v>166.4</v>
      </c>
      <c r="F48" s="13">
        <v>41.6</v>
      </c>
      <c r="G48">
        <v>212</v>
      </c>
      <c r="H48" s="249" t="s">
        <v>24</v>
      </c>
      <c r="I48" s="44" t="s">
        <v>31</v>
      </c>
      <c r="J48" s="44">
        <v>25</v>
      </c>
      <c r="K48" s="27">
        <v>99.25</v>
      </c>
      <c r="L48" s="18">
        <f t="shared" si="14"/>
        <v>3.97</v>
      </c>
      <c r="M48" s="30">
        <v>1.5</v>
      </c>
      <c r="N48" s="42">
        <v>2.2999999999999998</v>
      </c>
      <c r="O48" s="24">
        <f t="shared" si="15"/>
        <v>9.1300000000000008</v>
      </c>
      <c r="P48">
        <f>SUM(P45:P47)</f>
        <v>211</v>
      </c>
      <c r="Q48" t="s">
        <v>72</v>
      </c>
      <c r="S48">
        <f>SUM(S45:S47)</f>
        <v>211</v>
      </c>
    </row>
    <row r="49" spans="1:17" x14ac:dyDescent="0.3">
      <c r="A49">
        <v>5.6</v>
      </c>
      <c r="B49" s="336"/>
      <c r="C49" s="6">
        <v>5</v>
      </c>
      <c r="D49" s="6">
        <v>3</v>
      </c>
      <c r="E49" s="9">
        <f t="shared" si="13"/>
        <v>156</v>
      </c>
      <c r="F49" s="13">
        <v>52</v>
      </c>
      <c r="G49">
        <v>213</v>
      </c>
      <c r="H49" s="249" t="s">
        <v>24</v>
      </c>
      <c r="I49" s="44" t="s">
        <v>31</v>
      </c>
      <c r="J49" s="44">
        <v>25</v>
      </c>
      <c r="K49" s="27">
        <v>99.25</v>
      </c>
      <c r="L49" s="18">
        <f t="shared" si="14"/>
        <v>3.97</v>
      </c>
      <c r="M49" s="30">
        <v>2</v>
      </c>
      <c r="N49" s="42">
        <v>2.6</v>
      </c>
      <c r="O49" s="24">
        <f t="shared" si="15"/>
        <v>10.32</v>
      </c>
      <c r="Q49" t="s">
        <v>73</v>
      </c>
    </row>
    <row r="50" spans="1:17" x14ac:dyDescent="0.3">
      <c r="A50">
        <v>6.6</v>
      </c>
      <c r="B50" s="336"/>
      <c r="C50" s="6">
        <v>6</v>
      </c>
      <c r="D50" s="6">
        <v>2.5</v>
      </c>
      <c r="E50" s="9">
        <f t="shared" si="13"/>
        <v>156</v>
      </c>
      <c r="F50" s="13">
        <v>62.4</v>
      </c>
      <c r="G50">
        <v>221</v>
      </c>
      <c r="H50" s="249" t="s">
        <v>24</v>
      </c>
      <c r="I50" s="44" t="s">
        <v>33</v>
      </c>
      <c r="J50" s="44">
        <v>25</v>
      </c>
      <c r="K50" s="27">
        <v>105</v>
      </c>
      <c r="L50" s="18">
        <f t="shared" si="14"/>
        <v>4.2</v>
      </c>
      <c r="M50" s="30">
        <v>1</v>
      </c>
      <c r="N50" s="42">
        <v>2</v>
      </c>
      <c r="O50" s="24">
        <f t="shared" si="15"/>
        <v>8.4</v>
      </c>
      <c r="Q50" t="s">
        <v>71</v>
      </c>
    </row>
    <row r="51" spans="1:17" x14ac:dyDescent="0.3">
      <c r="A51">
        <v>8.6</v>
      </c>
      <c r="B51" s="336"/>
      <c r="C51" s="6">
        <v>8</v>
      </c>
      <c r="D51" s="6">
        <v>2</v>
      </c>
      <c r="E51" s="9">
        <f t="shared" si="13"/>
        <v>166.4</v>
      </c>
      <c r="F51" s="13">
        <v>83.2</v>
      </c>
      <c r="G51">
        <v>222</v>
      </c>
      <c r="H51" s="249" t="s">
        <v>24</v>
      </c>
      <c r="I51" s="44" t="s">
        <v>33</v>
      </c>
      <c r="J51" s="45">
        <v>25</v>
      </c>
      <c r="K51" s="27">
        <v>105</v>
      </c>
      <c r="L51" s="18">
        <f t="shared" si="14"/>
        <v>4.2</v>
      </c>
      <c r="M51" s="30">
        <v>1.5</v>
      </c>
      <c r="N51" s="42">
        <v>2.2999999999999998</v>
      </c>
      <c r="O51" s="24">
        <f t="shared" si="15"/>
        <v>9.66</v>
      </c>
      <c r="Q51" t="s">
        <v>72</v>
      </c>
    </row>
    <row r="52" spans="1:17" x14ac:dyDescent="0.3">
      <c r="A52">
        <v>10.6</v>
      </c>
      <c r="B52" s="336"/>
      <c r="C52" s="6">
        <v>10</v>
      </c>
      <c r="D52" s="6">
        <v>1.5</v>
      </c>
      <c r="E52" s="9">
        <f t="shared" si="13"/>
        <v>156</v>
      </c>
      <c r="F52" s="13">
        <v>104</v>
      </c>
      <c r="G52">
        <v>223</v>
      </c>
      <c r="H52" s="249" t="s">
        <v>24</v>
      </c>
      <c r="I52" s="44" t="s">
        <v>33</v>
      </c>
      <c r="J52" s="44">
        <v>25</v>
      </c>
      <c r="K52" s="27">
        <v>105</v>
      </c>
      <c r="L52" s="18">
        <f t="shared" si="14"/>
        <v>4.2</v>
      </c>
      <c r="M52" s="30">
        <v>2</v>
      </c>
      <c r="N52" s="42">
        <v>2.6</v>
      </c>
      <c r="O52" s="24">
        <f t="shared" si="15"/>
        <v>10.92</v>
      </c>
      <c r="Q52" t="s">
        <v>73</v>
      </c>
    </row>
    <row r="53" spans="1:17" ht="15" thickBot="1" x14ac:dyDescent="0.35">
      <c r="A53">
        <v>12.6</v>
      </c>
      <c r="B53" s="337"/>
      <c r="C53" s="4">
        <v>12</v>
      </c>
      <c r="D53" s="4">
        <v>1</v>
      </c>
      <c r="E53" s="10">
        <f t="shared" si="13"/>
        <v>124.8</v>
      </c>
      <c r="F53" s="14">
        <v>124.8</v>
      </c>
      <c r="G53">
        <v>231</v>
      </c>
      <c r="H53" s="249" t="s">
        <v>24</v>
      </c>
      <c r="I53" s="44" t="s">
        <v>34</v>
      </c>
      <c r="J53" s="44">
        <v>25</v>
      </c>
      <c r="K53" s="27">
        <v>133.25</v>
      </c>
      <c r="L53" s="18">
        <f t="shared" si="14"/>
        <v>5.33</v>
      </c>
      <c r="M53" s="30">
        <v>1</v>
      </c>
      <c r="N53" s="42">
        <v>2</v>
      </c>
      <c r="O53" s="24">
        <f t="shared" si="15"/>
        <v>10.66</v>
      </c>
      <c r="Q53" t="s">
        <v>71</v>
      </c>
    </row>
    <row r="54" spans="1:17" x14ac:dyDescent="0.3">
      <c r="A54">
        <v>2.7</v>
      </c>
      <c r="B54" s="336" t="s">
        <v>116</v>
      </c>
      <c r="C54" s="3">
        <v>2</v>
      </c>
      <c r="D54" s="3">
        <v>30</v>
      </c>
      <c r="E54" s="9">
        <f>F54*D54</f>
        <v>102</v>
      </c>
      <c r="F54" s="13">
        <v>3.4</v>
      </c>
      <c r="G54">
        <v>232</v>
      </c>
      <c r="H54" s="249" t="s">
        <v>24</v>
      </c>
      <c r="I54" s="44" t="s">
        <v>34</v>
      </c>
      <c r="J54" s="44">
        <v>25</v>
      </c>
      <c r="K54" s="27">
        <v>133.25</v>
      </c>
      <c r="L54" s="18">
        <f t="shared" si="14"/>
        <v>5.33</v>
      </c>
      <c r="M54" s="30">
        <v>1.5</v>
      </c>
      <c r="N54" s="42">
        <v>2.2999999999999998</v>
      </c>
      <c r="O54" s="24">
        <f t="shared" si="15"/>
        <v>12.26</v>
      </c>
      <c r="Q54" t="s">
        <v>72</v>
      </c>
    </row>
    <row r="55" spans="1:17" x14ac:dyDescent="0.3">
      <c r="A55">
        <v>3.7</v>
      </c>
      <c r="B55" s="336"/>
      <c r="C55" s="3">
        <v>3</v>
      </c>
      <c r="D55" s="3">
        <v>20</v>
      </c>
      <c r="E55" s="9">
        <f t="shared" ref="E55:E64" si="16">F55*D55</f>
        <v>102</v>
      </c>
      <c r="F55" s="13">
        <v>5.0999999999999996</v>
      </c>
      <c r="G55">
        <v>233</v>
      </c>
      <c r="H55" s="249" t="s">
        <v>24</v>
      </c>
      <c r="I55" s="44" t="s">
        <v>34</v>
      </c>
      <c r="J55" s="45">
        <v>25</v>
      </c>
      <c r="K55" s="27">
        <v>133.25</v>
      </c>
      <c r="L55" s="18">
        <f t="shared" si="14"/>
        <v>5.33</v>
      </c>
      <c r="M55" s="30">
        <v>2</v>
      </c>
      <c r="N55" s="42">
        <v>2.6</v>
      </c>
      <c r="O55" s="24">
        <f t="shared" si="15"/>
        <v>13.86</v>
      </c>
      <c r="Q55" t="s">
        <v>73</v>
      </c>
    </row>
    <row r="56" spans="1:17" x14ac:dyDescent="0.3">
      <c r="A56">
        <v>4.7</v>
      </c>
      <c r="B56" s="336"/>
      <c r="C56" s="3">
        <v>4</v>
      </c>
      <c r="D56" s="3">
        <v>15</v>
      </c>
      <c r="E56" s="9">
        <f t="shared" si="16"/>
        <v>102</v>
      </c>
      <c r="F56" s="13">
        <v>6.8</v>
      </c>
      <c r="G56">
        <v>241</v>
      </c>
      <c r="H56" s="249" t="s">
        <v>24</v>
      </c>
      <c r="I56" s="45" t="s">
        <v>35</v>
      </c>
      <c r="J56" s="44">
        <v>25</v>
      </c>
      <c r="K56" s="27">
        <v>154.25</v>
      </c>
      <c r="L56" s="18">
        <f t="shared" si="14"/>
        <v>6.17</v>
      </c>
      <c r="M56" s="30">
        <v>1</v>
      </c>
      <c r="N56" s="42">
        <v>2</v>
      </c>
      <c r="O56" s="24">
        <f t="shared" si="15"/>
        <v>12.34</v>
      </c>
      <c r="Q56" t="s">
        <v>71</v>
      </c>
    </row>
    <row r="57" spans="1:17" x14ac:dyDescent="0.3">
      <c r="A57">
        <v>5.7</v>
      </c>
      <c r="B57" s="336"/>
      <c r="C57" s="3">
        <v>5</v>
      </c>
      <c r="D57" s="3">
        <v>12</v>
      </c>
      <c r="E57" s="9">
        <f t="shared" si="16"/>
        <v>102</v>
      </c>
      <c r="F57" s="13">
        <v>8.5</v>
      </c>
      <c r="G57">
        <v>242</v>
      </c>
      <c r="H57" s="249" t="s">
        <v>24</v>
      </c>
      <c r="I57" s="45" t="s">
        <v>35</v>
      </c>
      <c r="J57" s="44">
        <v>25</v>
      </c>
      <c r="K57" s="27">
        <v>154.25</v>
      </c>
      <c r="L57" s="18">
        <f t="shared" si="14"/>
        <v>6.17</v>
      </c>
      <c r="M57" s="30">
        <v>1.5</v>
      </c>
      <c r="N57" s="42">
        <v>2.2999999999999998</v>
      </c>
      <c r="O57" s="24">
        <f t="shared" si="15"/>
        <v>14.19</v>
      </c>
      <c r="Q57" t="s">
        <v>72</v>
      </c>
    </row>
    <row r="58" spans="1:17" x14ac:dyDescent="0.3">
      <c r="A58">
        <v>6.7</v>
      </c>
      <c r="B58" s="336"/>
      <c r="C58" s="3">
        <v>6</v>
      </c>
      <c r="D58" s="3">
        <v>10</v>
      </c>
      <c r="E58" s="9">
        <f t="shared" si="16"/>
        <v>102</v>
      </c>
      <c r="F58" s="13">
        <v>10.199999999999999</v>
      </c>
      <c r="G58">
        <v>243</v>
      </c>
      <c r="H58" s="249" t="s">
        <v>24</v>
      </c>
      <c r="I58" s="45" t="s">
        <v>35</v>
      </c>
      <c r="J58" s="44">
        <v>25</v>
      </c>
      <c r="K58" s="27">
        <v>154.25</v>
      </c>
      <c r="L58" s="18">
        <f t="shared" si="14"/>
        <v>6.17</v>
      </c>
      <c r="M58" s="30">
        <v>2</v>
      </c>
      <c r="N58" s="42">
        <v>2.6</v>
      </c>
      <c r="O58" s="24">
        <f t="shared" si="15"/>
        <v>16.04</v>
      </c>
      <c r="Q58" t="s">
        <v>73</v>
      </c>
    </row>
    <row r="59" spans="1:17" x14ac:dyDescent="0.3">
      <c r="A59">
        <v>7.7</v>
      </c>
      <c r="B59" s="336"/>
      <c r="C59" s="3">
        <v>7</v>
      </c>
      <c r="D59" s="3">
        <v>8.5</v>
      </c>
      <c r="E59" s="9">
        <f t="shared" si="16"/>
        <v>101.15</v>
      </c>
      <c r="F59" s="13">
        <v>11.9</v>
      </c>
      <c r="G59">
        <v>251</v>
      </c>
      <c r="H59" s="249" t="s">
        <v>24</v>
      </c>
      <c r="I59" s="44" t="s">
        <v>36</v>
      </c>
      <c r="J59" s="45">
        <v>25</v>
      </c>
      <c r="K59" s="27">
        <v>184.25</v>
      </c>
      <c r="L59" s="18">
        <f t="shared" si="14"/>
        <v>7.37</v>
      </c>
      <c r="M59" s="30">
        <v>1</v>
      </c>
      <c r="N59" s="42">
        <v>2</v>
      </c>
      <c r="O59" s="24">
        <f t="shared" si="15"/>
        <v>14.74</v>
      </c>
      <c r="Q59" t="s">
        <v>71</v>
      </c>
    </row>
    <row r="60" spans="1:17" x14ac:dyDescent="0.3">
      <c r="A60">
        <v>8.6999999999999993</v>
      </c>
      <c r="B60" s="336"/>
      <c r="C60" s="3">
        <v>8</v>
      </c>
      <c r="D60" s="3">
        <v>7</v>
      </c>
      <c r="E60" s="9">
        <f t="shared" si="16"/>
        <v>95.2</v>
      </c>
      <c r="F60" s="13">
        <v>13.6</v>
      </c>
      <c r="G60">
        <v>252</v>
      </c>
      <c r="H60" s="249" t="s">
        <v>24</v>
      </c>
      <c r="I60" s="44" t="s">
        <v>36</v>
      </c>
      <c r="J60" s="44">
        <v>25</v>
      </c>
      <c r="K60" s="27">
        <v>184.25</v>
      </c>
      <c r="L60" s="18">
        <f t="shared" si="14"/>
        <v>7.37</v>
      </c>
      <c r="M60" s="30">
        <v>1.5</v>
      </c>
      <c r="N60" s="42">
        <v>2.2999999999999998</v>
      </c>
      <c r="O60" s="24">
        <f t="shared" si="15"/>
        <v>16.95</v>
      </c>
      <c r="Q60" t="s">
        <v>72</v>
      </c>
    </row>
    <row r="61" spans="1:17" x14ac:dyDescent="0.3">
      <c r="A61">
        <v>10.7</v>
      </c>
      <c r="B61" s="336"/>
      <c r="C61" s="3">
        <v>10</v>
      </c>
      <c r="D61" s="3">
        <v>6</v>
      </c>
      <c r="E61" s="9">
        <f t="shared" si="16"/>
        <v>102</v>
      </c>
      <c r="F61" s="13">
        <v>17</v>
      </c>
      <c r="G61">
        <v>253</v>
      </c>
      <c r="H61" s="249" t="s">
        <v>24</v>
      </c>
      <c r="I61" s="44" t="s">
        <v>36</v>
      </c>
      <c r="J61" s="44">
        <v>25</v>
      </c>
      <c r="K61" s="27">
        <v>184.25</v>
      </c>
      <c r="L61" s="18">
        <f t="shared" si="14"/>
        <v>7.37</v>
      </c>
      <c r="M61" s="30">
        <v>2</v>
      </c>
      <c r="N61" s="42">
        <v>2.6</v>
      </c>
      <c r="O61" s="24">
        <f t="shared" si="15"/>
        <v>19.16</v>
      </c>
      <c r="Q61" t="s">
        <v>73</v>
      </c>
    </row>
    <row r="62" spans="1:17" x14ac:dyDescent="0.3">
      <c r="A62">
        <v>12.7</v>
      </c>
      <c r="B62" s="336"/>
      <c r="C62" s="3">
        <v>12</v>
      </c>
      <c r="D62" s="3">
        <v>5</v>
      </c>
      <c r="E62" s="9">
        <f t="shared" si="16"/>
        <v>102</v>
      </c>
      <c r="F62" s="13">
        <v>20.399999999999999</v>
      </c>
      <c r="G62">
        <v>261</v>
      </c>
      <c r="H62" s="249" t="s">
        <v>24</v>
      </c>
      <c r="I62" s="44" t="s">
        <v>37</v>
      </c>
      <c r="J62" s="44">
        <v>25</v>
      </c>
      <c r="K62" s="27">
        <v>254.5</v>
      </c>
      <c r="L62" s="18">
        <f t="shared" si="14"/>
        <v>10.18</v>
      </c>
      <c r="M62" s="30">
        <v>1</v>
      </c>
      <c r="N62" s="42">
        <v>2</v>
      </c>
      <c r="O62" s="24">
        <f t="shared" si="15"/>
        <v>20.36</v>
      </c>
      <c r="Q62" t="s">
        <v>71</v>
      </c>
    </row>
    <row r="63" spans="1:17" x14ac:dyDescent="0.3">
      <c r="A63">
        <v>14.7</v>
      </c>
      <c r="B63" s="336"/>
      <c r="C63" s="3">
        <v>14</v>
      </c>
      <c r="D63" s="3">
        <v>4</v>
      </c>
      <c r="E63" s="9">
        <f t="shared" si="16"/>
        <v>95.2</v>
      </c>
      <c r="F63" s="13">
        <v>23.8</v>
      </c>
      <c r="G63">
        <v>262</v>
      </c>
      <c r="H63" s="249" t="s">
        <v>24</v>
      </c>
      <c r="I63" s="44" t="s">
        <v>37</v>
      </c>
      <c r="J63" s="45">
        <v>25</v>
      </c>
      <c r="K63" s="27">
        <v>254.5</v>
      </c>
      <c r="L63" s="18">
        <f t="shared" si="14"/>
        <v>10.18</v>
      </c>
      <c r="M63" s="30">
        <v>1.5</v>
      </c>
      <c r="N63" s="42">
        <v>2.2999999999999998</v>
      </c>
      <c r="O63" s="24">
        <f t="shared" si="15"/>
        <v>23.41</v>
      </c>
      <c r="Q63" t="s">
        <v>72</v>
      </c>
    </row>
    <row r="64" spans="1:17" ht="15" thickBot="1" x14ac:dyDescent="0.35">
      <c r="A64">
        <v>16.7</v>
      </c>
      <c r="B64" s="337"/>
      <c r="C64" s="4">
        <v>16</v>
      </c>
      <c r="D64" s="4">
        <v>3.5</v>
      </c>
      <c r="E64" s="10">
        <f t="shared" si="16"/>
        <v>95.2</v>
      </c>
      <c r="F64" s="14">
        <v>27.2</v>
      </c>
      <c r="G64">
        <v>263</v>
      </c>
      <c r="H64" s="249" t="s">
        <v>24</v>
      </c>
      <c r="I64" s="44" t="s">
        <v>37</v>
      </c>
      <c r="J64" s="44">
        <v>25</v>
      </c>
      <c r="K64" s="27">
        <v>254.5</v>
      </c>
      <c r="L64" s="18">
        <f t="shared" si="14"/>
        <v>10.18</v>
      </c>
      <c r="M64" s="30">
        <v>2</v>
      </c>
      <c r="N64" s="42">
        <v>2.6</v>
      </c>
      <c r="O64" s="24">
        <f t="shared" si="15"/>
        <v>26.47</v>
      </c>
      <c r="Q64" t="s">
        <v>73</v>
      </c>
    </row>
    <row r="65" spans="1:17" ht="15" thickBot="1" x14ac:dyDescent="0.35">
      <c r="E65" s="11"/>
      <c r="G65">
        <v>311</v>
      </c>
      <c r="H65" s="249" t="s">
        <v>25</v>
      </c>
      <c r="I65" s="44" t="s">
        <v>31</v>
      </c>
      <c r="J65" s="44">
        <v>25</v>
      </c>
      <c r="K65" s="18">
        <v>72.5</v>
      </c>
      <c r="L65" s="18">
        <f t="shared" si="14"/>
        <v>2.9</v>
      </c>
      <c r="M65" s="30">
        <v>1</v>
      </c>
      <c r="N65" s="44">
        <v>2</v>
      </c>
      <c r="O65" s="24">
        <f t="shared" si="15"/>
        <v>5.8</v>
      </c>
      <c r="Q65" t="s">
        <v>71</v>
      </c>
    </row>
    <row r="66" spans="1:17" x14ac:dyDescent="0.3">
      <c r="A66">
        <v>11</v>
      </c>
      <c r="B66" s="335" t="s">
        <v>54</v>
      </c>
      <c r="C66" s="2">
        <v>90</v>
      </c>
      <c r="D66" s="2">
        <v>200</v>
      </c>
      <c r="E66" s="8">
        <v>54</v>
      </c>
      <c r="F66" s="12">
        <f>E66/D66</f>
        <v>0.27</v>
      </c>
      <c r="G66">
        <v>312</v>
      </c>
      <c r="H66" s="249" t="s">
        <v>25</v>
      </c>
      <c r="I66" s="44" t="s">
        <v>31</v>
      </c>
      <c r="J66" s="45">
        <v>25</v>
      </c>
      <c r="K66" s="18">
        <v>72.5</v>
      </c>
      <c r="L66" s="18">
        <f t="shared" si="14"/>
        <v>2.9</v>
      </c>
      <c r="M66" s="30">
        <v>1.5</v>
      </c>
      <c r="N66" s="42">
        <v>2.2999999999999998</v>
      </c>
      <c r="O66" s="24">
        <f t="shared" si="15"/>
        <v>6.67</v>
      </c>
      <c r="Q66" t="s">
        <v>72</v>
      </c>
    </row>
    <row r="67" spans="1:17" x14ac:dyDescent="0.3">
      <c r="A67">
        <v>12</v>
      </c>
      <c r="B67" s="336"/>
      <c r="C67" s="3">
        <v>110</v>
      </c>
      <c r="D67" s="3">
        <v>200</v>
      </c>
      <c r="E67" s="9">
        <v>60</v>
      </c>
      <c r="F67" s="13">
        <f t="shared" ref="F67:F101" si="17">E67/D67</f>
        <v>0.3</v>
      </c>
      <c r="G67">
        <v>313</v>
      </c>
      <c r="H67" s="249" t="s">
        <v>25</v>
      </c>
      <c r="I67" s="44" t="s">
        <v>31</v>
      </c>
      <c r="J67" s="44">
        <v>25</v>
      </c>
      <c r="K67" s="18">
        <v>72.5</v>
      </c>
      <c r="L67" s="18">
        <f t="shared" si="14"/>
        <v>2.9</v>
      </c>
      <c r="M67" s="30">
        <v>2</v>
      </c>
      <c r="N67" s="42">
        <v>2.6</v>
      </c>
      <c r="O67" s="24">
        <f t="shared" si="15"/>
        <v>7.54</v>
      </c>
      <c r="Q67" t="s">
        <v>73</v>
      </c>
    </row>
    <row r="68" spans="1:17" x14ac:dyDescent="0.3">
      <c r="A68">
        <v>13</v>
      </c>
      <c r="B68" s="336"/>
      <c r="C68" s="3">
        <v>140</v>
      </c>
      <c r="D68" s="3">
        <v>200</v>
      </c>
      <c r="E68" s="9">
        <v>94</v>
      </c>
      <c r="F68" s="13">
        <f t="shared" si="17"/>
        <v>0.47</v>
      </c>
      <c r="G68">
        <v>321</v>
      </c>
      <c r="H68" s="249" t="s">
        <v>25</v>
      </c>
      <c r="I68" s="44" t="s">
        <v>33</v>
      </c>
      <c r="J68" s="44">
        <v>25</v>
      </c>
      <c r="K68" s="18">
        <v>80.5</v>
      </c>
      <c r="L68" s="18">
        <f t="shared" si="14"/>
        <v>3.22</v>
      </c>
      <c r="M68" s="30">
        <v>1</v>
      </c>
      <c r="N68" s="44">
        <v>2</v>
      </c>
      <c r="O68" s="24">
        <f t="shared" si="15"/>
        <v>6.44</v>
      </c>
      <c r="Q68" t="s">
        <v>71</v>
      </c>
    </row>
    <row r="69" spans="1:17" x14ac:dyDescent="0.3">
      <c r="A69">
        <v>14</v>
      </c>
      <c r="B69" s="336"/>
      <c r="C69" s="3">
        <v>160</v>
      </c>
      <c r="D69" s="3">
        <v>200</v>
      </c>
      <c r="E69" s="9">
        <v>136</v>
      </c>
      <c r="F69" s="13">
        <f t="shared" si="17"/>
        <v>0.68</v>
      </c>
      <c r="G69">
        <v>322</v>
      </c>
      <c r="H69" s="249" t="s">
        <v>25</v>
      </c>
      <c r="I69" s="44" t="s">
        <v>33</v>
      </c>
      <c r="J69" s="45">
        <v>25</v>
      </c>
      <c r="K69" s="18">
        <v>80.5</v>
      </c>
      <c r="L69" s="18">
        <f t="shared" si="14"/>
        <v>3.22</v>
      </c>
      <c r="M69" s="30">
        <v>1.5</v>
      </c>
      <c r="N69" s="42">
        <v>2.2999999999999998</v>
      </c>
      <c r="O69" s="24">
        <f t="shared" si="15"/>
        <v>7.41</v>
      </c>
      <c r="Q69" t="s">
        <v>72</v>
      </c>
    </row>
    <row r="70" spans="1:17" x14ac:dyDescent="0.3">
      <c r="A70">
        <v>15</v>
      </c>
      <c r="B70" s="336"/>
      <c r="C70" s="3">
        <v>180</v>
      </c>
      <c r="D70" s="3">
        <v>200</v>
      </c>
      <c r="E70" s="9">
        <v>172</v>
      </c>
      <c r="F70" s="13">
        <f t="shared" si="17"/>
        <v>0.86</v>
      </c>
      <c r="G70">
        <v>323</v>
      </c>
      <c r="H70" s="249" t="s">
        <v>25</v>
      </c>
      <c r="I70" s="44" t="s">
        <v>33</v>
      </c>
      <c r="J70" s="44">
        <v>25</v>
      </c>
      <c r="K70" s="18">
        <v>80.5</v>
      </c>
      <c r="L70" s="18">
        <f t="shared" si="14"/>
        <v>3.22</v>
      </c>
      <c r="M70" s="30">
        <v>2</v>
      </c>
      <c r="N70" s="42">
        <v>2.6</v>
      </c>
      <c r="O70" s="24">
        <f t="shared" si="15"/>
        <v>8.3699999999999992</v>
      </c>
      <c r="Q70" t="s">
        <v>73</v>
      </c>
    </row>
    <row r="71" spans="1:17" ht="15" thickBot="1" x14ac:dyDescent="0.35">
      <c r="A71">
        <v>16</v>
      </c>
      <c r="B71" s="337"/>
      <c r="C71" s="4">
        <v>200</v>
      </c>
      <c r="D71" s="4">
        <v>200</v>
      </c>
      <c r="E71" s="10">
        <v>186</v>
      </c>
      <c r="F71" s="14">
        <f t="shared" si="17"/>
        <v>0.93</v>
      </c>
      <c r="G71">
        <v>331</v>
      </c>
      <c r="H71" s="249" t="s">
        <v>25</v>
      </c>
      <c r="I71" s="44" t="s">
        <v>34</v>
      </c>
      <c r="J71" s="44">
        <v>25</v>
      </c>
      <c r="K71" s="18">
        <v>101.5</v>
      </c>
      <c r="L71" s="18">
        <f t="shared" si="14"/>
        <v>4.0599999999999996</v>
      </c>
      <c r="M71" s="30">
        <v>1</v>
      </c>
      <c r="N71" s="44">
        <v>2</v>
      </c>
      <c r="O71" s="24">
        <f t="shared" si="15"/>
        <v>8.1199999999999992</v>
      </c>
      <c r="Q71" t="s">
        <v>71</v>
      </c>
    </row>
    <row r="72" spans="1:17" x14ac:dyDescent="0.3">
      <c r="A72">
        <v>21</v>
      </c>
      <c r="B72" s="341" t="s">
        <v>108</v>
      </c>
      <c r="C72" s="2">
        <v>95</v>
      </c>
      <c r="D72" s="2">
        <v>100</v>
      </c>
      <c r="E72" s="8">
        <v>44</v>
      </c>
      <c r="F72" s="12">
        <f t="shared" si="17"/>
        <v>0.44</v>
      </c>
      <c r="G72">
        <v>332</v>
      </c>
      <c r="H72" s="249" t="s">
        <v>25</v>
      </c>
      <c r="I72" s="44" t="s">
        <v>34</v>
      </c>
      <c r="J72" s="45">
        <v>25</v>
      </c>
      <c r="K72" s="18">
        <v>101.5</v>
      </c>
      <c r="L72" s="18">
        <f t="shared" si="14"/>
        <v>4.0599999999999996</v>
      </c>
      <c r="M72" s="30">
        <v>1.5</v>
      </c>
      <c r="N72" s="42">
        <v>2.2999999999999998</v>
      </c>
      <c r="O72" s="24">
        <f t="shared" si="15"/>
        <v>9.34</v>
      </c>
      <c r="Q72" t="s">
        <v>72</v>
      </c>
    </row>
    <row r="73" spans="1:17" x14ac:dyDescent="0.3">
      <c r="A73">
        <v>22</v>
      </c>
      <c r="B73" s="342"/>
      <c r="C73" s="3">
        <v>115</v>
      </c>
      <c r="D73" s="3">
        <v>100</v>
      </c>
      <c r="E73" s="9">
        <v>46</v>
      </c>
      <c r="F73" s="13">
        <f t="shared" si="17"/>
        <v>0.46</v>
      </c>
      <c r="G73">
        <v>333</v>
      </c>
      <c r="H73" s="249" t="s">
        <v>25</v>
      </c>
      <c r="I73" s="44" t="s">
        <v>34</v>
      </c>
      <c r="J73" s="44">
        <v>25</v>
      </c>
      <c r="K73" s="18">
        <v>101.5</v>
      </c>
      <c r="L73" s="18">
        <f t="shared" si="14"/>
        <v>4.0599999999999996</v>
      </c>
      <c r="M73" s="30">
        <v>2</v>
      </c>
      <c r="N73" s="42">
        <v>2.6</v>
      </c>
      <c r="O73" s="24">
        <f t="shared" si="15"/>
        <v>10.56</v>
      </c>
      <c r="Q73" t="s">
        <v>73</v>
      </c>
    </row>
    <row r="74" spans="1:17" x14ac:dyDescent="0.3">
      <c r="A74">
        <v>23</v>
      </c>
      <c r="B74" s="342"/>
      <c r="C74" s="3">
        <v>135</v>
      </c>
      <c r="D74" s="3">
        <v>100</v>
      </c>
      <c r="E74" s="9">
        <v>52</v>
      </c>
      <c r="F74" s="13">
        <f t="shared" si="17"/>
        <v>0.52</v>
      </c>
      <c r="G74">
        <v>341</v>
      </c>
      <c r="H74" s="249" t="s">
        <v>25</v>
      </c>
      <c r="I74" s="45" t="s">
        <v>35</v>
      </c>
      <c r="J74" s="44">
        <v>25</v>
      </c>
      <c r="K74" s="18">
        <v>113.25</v>
      </c>
      <c r="L74" s="18">
        <f t="shared" si="14"/>
        <v>4.53</v>
      </c>
      <c r="M74" s="30">
        <v>1</v>
      </c>
      <c r="N74" s="44">
        <v>2</v>
      </c>
      <c r="O74" s="24">
        <f t="shared" si="15"/>
        <v>9.06</v>
      </c>
      <c r="Q74" t="s">
        <v>71</v>
      </c>
    </row>
    <row r="75" spans="1:17" x14ac:dyDescent="0.3">
      <c r="A75">
        <v>24</v>
      </c>
      <c r="B75" s="342"/>
      <c r="C75" s="3">
        <v>155</v>
      </c>
      <c r="D75" s="3">
        <v>100</v>
      </c>
      <c r="E75" s="9">
        <v>62</v>
      </c>
      <c r="F75" s="13">
        <f t="shared" si="17"/>
        <v>0.62</v>
      </c>
      <c r="G75">
        <v>342</v>
      </c>
      <c r="H75" s="249" t="s">
        <v>25</v>
      </c>
      <c r="I75" s="45" t="s">
        <v>35</v>
      </c>
      <c r="J75" s="45">
        <v>25</v>
      </c>
      <c r="K75" s="18">
        <v>113.25</v>
      </c>
      <c r="L75" s="18">
        <f t="shared" si="14"/>
        <v>4.53</v>
      </c>
      <c r="M75" s="30">
        <v>1.5</v>
      </c>
      <c r="N75" s="42">
        <v>2.2999999999999998</v>
      </c>
      <c r="O75" s="24">
        <f t="shared" si="15"/>
        <v>10.42</v>
      </c>
      <c r="Q75" t="s">
        <v>72</v>
      </c>
    </row>
    <row r="76" spans="1:17" x14ac:dyDescent="0.3">
      <c r="A76">
        <v>25</v>
      </c>
      <c r="B76" s="342"/>
      <c r="C76" s="3">
        <v>175</v>
      </c>
      <c r="D76" s="3">
        <v>100</v>
      </c>
      <c r="E76" s="9">
        <v>74</v>
      </c>
      <c r="F76" s="13">
        <f t="shared" si="17"/>
        <v>0.74</v>
      </c>
      <c r="G76">
        <v>343</v>
      </c>
      <c r="H76" s="249" t="s">
        <v>25</v>
      </c>
      <c r="I76" s="45" t="s">
        <v>35</v>
      </c>
      <c r="J76" s="44">
        <v>25</v>
      </c>
      <c r="K76" s="18">
        <v>113.25</v>
      </c>
      <c r="L76" s="18">
        <f t="shared" si="14"/>
        <v>4.53</v>
      </c>
      <c r="M76" s="30">
        <v>2</v>
      </c>
      <c r="N76" s="42">
        <v>2.6</v>
      </c>
      <c r="O76" s="24">
        <f t="shared" si="15"/>
        <v>11.78</v>
      </c>
      <c r="Q76" t="s">
        <v>73</v>
      </c>
    </row>
    <row r="77" spans="1:17" x14ac:dyDescent="0.3">
      <c r="A77">
        <v>26</v>
      </c>
      <c r="B77" s="342"/>
      <c r="C77" s="3">
        <v>195</v>
      </c>
      <c r="D77" s="3">
        <v>100</v>
      </c>
      <c r="E77" s="9">
        <v>95</v>
      </c>
      <c r="F77" s="13">
        <f t="shared" si="17"/>
        <v>0.95</v>
      </c>
      <c r="G77">
        <v>351</v>
      </c>
      <c r="H77" s="249" t="s">
        <v>25</v>
      </c>
      <c r="I77" s="44" t="s">
        <v>36</v>
      </c>
      <c r="J77" s="44">
        <v>25</v>
      </c>
      <c r="K77" s="18">
        <v>144.25</v>
      </c>
      <c r="L77" s="18">
        <f t="shared" si="14"/>
        <v>5.77</v>
      </c>
      <c r="M77" s="30">
        <v>1</v>
      </c>
      <c r="N77" s="44">
        <v>2</v>
      </c>
      <c r="O77" s="24">
        <f t="shared" si="15"/>
        <v>11.54</v>
      </c>
      <c r="Q77" t="s">
        <v>71</v>
      </c>
    </row>
    <row r="78" spans="1:17" x14ac:dyDescent="0.3">
      <c r="A78">
        <v>27</v>
      </c>
      <c r="B78" s="342"/>
      <c r="C78" s="3">
        <v>215</v>
      </c>
      <c r="D78" s="3">
        <v>100</v>
      </c>
      <c r="E78" s="9">
        <v>108</v>
      </c>
      <c r="F78" s="13">
        <f t="shared" si="17"/>
        <v>1.08</v>
      </c>
      <c r="G78">
        <v>352</v>
      </c>
      <c r="H78" s="249" t="s">
        <v>25</v>
      </c>
      <c r="I78" s="44" t="s">
        <v>36</v>
      </c>
      <c r="J78" s="45">
        <v>25</v>
      </c>
      <c r="K78" s="18">
        <v>144.25</v>
      </c>
      <c r="L78" s="18">
        <f t="shared" si="14"/>
        <v>5.77</v>
      </c>
      <c r="M78" s="30">
        <v>1.5</v>
      </c>
      <c r="N78" s="42">
        <v>2.2999999999999998</v>
      </c>
      <c r="O78" s="24">
        <f t="shared" si="15"/>
        <v>13.27</v>
      </c>
      <c r="Q78" t="s">
        <v>72</v>
      </c>
    </row>
    <row r="79" spans="1:17" x14ac:dyDescent="0.3">
      <c r="A79">
        <v>28</v>
      </c>
      <c r="B79" s="342"/>
      <c r="C79" s="3">
        <v>235</v>
      </c>
      <c r="D79" s="3">
        <v>100</v>
      </c>
      <c r="E79" s="9">
        <v>133</v>
      </c>
      <c r="F79" s="13">
        <f t="shared" si="17"/>
        <v>1.33</v>
      </c>
      <c r="G79">
        <v>353</v>
      </c>
      <c r="H79" s="249" t="s">
        <v>25</v>
      </c>
      <c r="I79" s="44" t="s">
        <v>36</v>
      </c>
      <c r="J79" s="44">
        <v>25</v>
      </c>
      <c r="K79" s="18">
        <v>144.25</v>
      </c>
      <c r="L79" s="18">
        <f t="shared" ref="L79:L99" si="18">ROUND(K79/J79,2)</f>
        <v>5.77</v>
      </c>
      <c r="M79" s="30">
        <v>2</v>
      </c>
      <c r="N79" s="42">
        <v>2.6</v>
      </c>
      <c r="O79" s="24">
        <f t="shared" ref="O79:O99" si="19">ROUND(N79*L79,2)</f>
        <v>15</v>
      </c>
      <c r="Q79" t="s">
        <v>73</v>
      </c>
    </row>
    <row r="80" spans="1:17" x14ac:dyDescent="0.3">
      <c r="A80">
        <v>29</v>
      </c>
      <c r="B80" s="342"/>
      <c r="C80" s="3"/>
      <c r="D80" s="3"/>
      <c r="E80" s="9"/>
      <c r="F80" s="13"/>
      <c r="G80">
        <v>361</v>
      </c>
      <c r="H80" s="249" t="s">
        <v>25</v>
      </c>
      <c r="I80" s="44" t="s">
        <v>37</v>
      </c>
      <c r="J80" s="44">
        <v>25</v>
      </c>
      <c r="K80" s="18">
        <v>202.25</v>
      </c>
      <c r="L80" s="18">
        <f t="shared" si="18"/>
        <v>8.09</v>
      </c>
      <c r="M80" s="30">
        <v>1</v>
      </c>
      <c r="N80" s="44">
        <v>2</v>
      </c>
      <c r="O80" s="24">
        <f t="shared" si="19"/>
        <v>16.18</v>
      </c>
      <c r="Q80" t="s">
        <v>71</v>
      </c>
    </row>
    <row r="81" spans="1:17" x14ac:dyDescent="0.3">
      <c r="A81">
        <v>30</v>
      </c>
      <c r="B81" s="342"/>
      <c r="C81" s="3"/>
      <c r="D81" s="3"/>
      <c r="E81" s="9"/>
      <c r="F81" s="13"/>
      <c r="G81">
        <v>362</v>
      </c>
      <c r="H81" s="249" t="s">
        <v>25</v>
      </c>
      <c r="I81" s="44" t="s">
        <v>37</v>
      </c>
      <c r="J81" s="45">
        <v>25</v>
      </c>
      <c r="K81" s="18">
        <v>202.25</v>
      </c>
      <c r="L81" s="18">
        <f t="shared" si="18"/>
        <v>8.09</v>
      </c>
      <c r="M81" s="30">
        <v>1.5</v>
      </c>
      <c r="N81" s="42">
        <v>2.2999999999999998</v>
      </c>
      <c r="O81" s="24">
        <f t="shared" si="19"/>
        <v>18.61</v>
      </c>
      <c r="Q81" t="s">
        <v>72</v>
      </c>
    </row>
    <row r="82" spans="1:17" ht="15" thickBot="1" x14ac:dyDescent="0.35">
      <c r="A82">
        <v>31</v>
      </c>
      <c r="B82" s="343"/>
      <c r="C82" s="4"/>
      <c r="D82" s="4"/>
      <c r="E82" s="10"/>
      <c r="F82" s="14"/>
      <c r="G82">
        <v>363</v>
      </c>
      <c r="H82" s="249" t="s">
        <v>25</v>
      </c>
      <c r="I82" s="44" t="s">
        <v>37</v>
      </c>
      <c r="J82" s="44">
        <v>25</v>
      </c>
      <c r="K82" s="18">
        <v>202.25</v>
      </c>
      <c r="L82" s="18">
        <f t="shared" si="18"/>
        <v>8.09</v>
      </c>
      <c r="M82" s="30">
        <v>2</v>
      </c>
      <c r="N82" s="42">
        <v>2.6</v>
      </c>
      <c r="O82" s="24">
        <f t="shared" si="19"/>
        <v>21.03</v>
      </c>
      <c r="Q82" t="s">
        <v>73</v>
      </c>
    </row>
    <row r="83" spans="1:17" x14ac:dyDescent="0.3">
      <c r="A83">
        <v>41</v>
      </c>
      <c r="B83" s="335" t="s">
        <v>55</v>
      </c>
      <c r="C83" s="3">
        <v>80</v>
      </c>
      <c r="D83" s="3">
        <v>100</v>
      </c>
      <c r="E83" s="9">
        <v>84</v>
      </c>
      <c r="F83" s="13">
        <f t="shared" si="17"/>
        <v>0.84</v>
      </c>
      <c r="G83">
        <v>411</v>
      </c>
      <c r="H83" s="249" t="s">
        <v>26</v>
      </c>
      <c r="I83" s="44" t="s">
        <v>31</v>
      </c>
      <c r="J83" s="45">
        <v>25</v>
      </c>
      <c r="K83" s="18">
        <v>97</v>
      </c>
      <c r="L83" s="18">
        <f t="shared" si="18"/>
        <v>3.88</v>
      </c>
      <c r="M83" s="30">
        <v>1</v>
      </c>
      <c r="N83" s="44">
        <v>2</v>
      </c>
      <c r="O83" s="24">
        <f t="shared" si="19"/>
        <v>7.76</v>
      </c>
      <c r="Q83" t="s">
        <v>74</v>
      </c>
    </row>
    <row r="84" spans="1:17" x14ac:dyDescent="0.3">
      <c r="A84">
        <v>42</v>
      </c>
      <c r="B84" s="336"/>
      <c r="C84" s="3">
        <v>100</v>
      </c>
      <c r="D84" s="3">
        <v>100</v>
      </c>
      <c r="E84" s="9">
        <v>97</v>
      </c>
      <c r="F84" s="13">
        <f t="shared" si="17"/>
        <v>0.97</v>
      </c>
      <c r="G84">
        <v>412</v>
      </c>
      <c r="H84" s="249" t="s">
        <v>26</v>
      </c>
      <c r="I84" s="44" t="s">
        <v>31</v>
      </c>
      <c r="J84" s="45">
        <v>25</v>
      </c>
      <c r="K84" s="18">
        <v>97</v>
      </c>
      <c r="L84" s="18">
        <f t="shared" si="18"/>
        <v>3.88</v>
      </c>
      <c r="M84" s="30">
        <v>1.5</v>
      </c>
      <c r="N84" s="42">
        <v>2.2999999999999998</v>
      </c>
      <c r="O84" s="24">
        <f t="shared" si="19"/>
        <v>8.92</v>
      </c>
      <c r="Q84" t="s">
        <v>75</v>
      </c>
    </row>
    <row r="85" spans="1:17" x14ac:dyDescent="0.3">
      <c r="A85">
        <v>46</v>
      </c>
      <c r="B85" s="336"/>
      <c r="C85" s="3">
        <v>120</v>
      </c>
      <c r="D85" s="3">
        <v>100</v>
      </c>
      <c r="E85" s="9">
        <v>106</v>
      </c>
      <c r="F85" s="13">
        <f t="shared" si="17"/>
        <v>1.06</v>
      </c>
      <c r="G85">
        <v>413</v>
      </c>
      <c r="H85" s="249" t="s">
        <v>26</v>
      </c>
      <c r="I85" s="44" t="s">
        <v>31</v>
      </c>
      <c r="J85" s="44">
        <v>25</v>
      </c>
      <c r="K85" s="18">
        <v>97</v>
      </c>
      <c r="L85" s="18">
        <f t="shared" si="18"/>
        <v>3.88</v>
      </c>
      <c r="M85" s="30">
        <v>2</v>
      </c>
      <c r="N85" s="42">
        <v>3</v>
      </c>
      <c r="O85" s="24">
        <f t="shared" si="19"/>
        <v>11.64</v>
      </c>
      <c r="Q85" t="s">
        <v>76</v>
      </c>
    </row>
    <row r="86" spans="1:17" x14ac:dyDescent="0.3">
      <c r="A86">
        <v>43</v>
      </c>
      <c r="B86" s="336"/>
      <c r="C86" s="3">
        <v>140</v>
      </c>
      <c r="D86" s="3">
        <v>100</v>
      </c>
      <c r="E86" s="9">
        <v>121</v>
      </c>
      <c r="F86" s="13">
        <f t="shared" si="17"/>
        <v>1.21</v>
      </c>
      <c r="G86">
        <v>421</v>
      </c>
      <c r="H86" s="249" t="s">
        <v>26</v>
      </c>
      <c r="I86" s="44" t="s">
        <v>33</v>
      </c>
      <c r="J86" s="45">
        <v>25</v>
      </c>
      <c r="K86" s="18">
        <v>100.75</v>
      </c>
      <c r="L86" s="18">
        <f t="shared" si="18"/>
        <v>4.03</v>
      </c>
      <c r="M86" s="30">
        <v>1</v>
      </c>
      <c r="N86" s="44">
        <v>2</v>
      </c>
      <c r="O86" s="24">
        <f t="shared" si="19"/>
        <v>8.06</v>
      </c>
      <c r="Q86" t="s">
        <v>74</v>
      </c>
    </row>
    <row r="87" spans="1:17" x14ac:dyDescent="0.3">
      <c r="A87">
        <v>44</v>
      </c>
      <c r="B87" s="336"/>
      <c r="C87" s="3">
        <v>160</v>
      </c>
      <c r="D87" s="3">
        <v>100</v>
      </c>
      <c r="E87" s="9">
        <v>138</v>
      </c>
      <c r="F87" s="13">
        <f t="shared" si="17"/>
        <v>1.38</v>
      </c>
      <c r="G87">
        <v>422</v>
      </c>
      <c r="H87" s="249" t="s">
        <v>26</v>
      </c>
      <c r="I87" s="44" t="s">
        <v>33</v>
      </c>
      <c r="J87" s="45">
        <v>25</v>
      </c>
      <c r="K87" s="18">
        <v>100.75</v>
      </c>
      <c r="L87" s="18">
        <f t="shared" si="18"/>
        <v>4.03</v>
      </c>
      <c r="M87" s="30">
        <v>1.5</v>
      </c>
      <c r="N87" s="42">
        <v>2.2999999999999998</v>
      </c>
      <c r="O87" s="24">
        <f t="shared" si="19"/>
        <v>9.27</v>
      </c>
      <c r="Q87" t="s">
        <v>75</v>
      </c>
    </row>
    <row r="88" spans="1:17" ht="15" thickBot="1" x14ac:dyDescent="0.35">
      <c r="A88">
        <v>45</v>
      </c>
      <c r="B88" s="337"/>
      <c r="C88" s="4">
        <v>180</v>
      </c>
      <c r="D88" s="4">
        <v>100</v>
      </c>
      <c r="E88" s="10">
        <v>161</v>
      </c>
      <c r="F88" s="14">
        <f t="shared" si="17"/>
        <v>1.61</v>
      </c>
      <c r="G88">
        <v>423</v>
      </c>
      <c r="H88" s="249" t="s">
        <v>26</v>
      </c>
      <c r="I88" s="44" t="s">
        <v>33</v>
      </c>
      <c r="J88" s="44">
        <v>25</v>
      </c>
      <c r="K88" s="18">
        <v>100.75</v>
      </c>
      <c r="L88" s="18">
        <f t="shared" si="18"/>
        <v>4.03</v>
      </c>
      <c r="M88" s="30">
        <v>2</v>
      </c>
      <c r="N88" s="42">
        <v>3</v>
      </c>
      <c r="O88" s="24">
        <f t="shared" si="19"/>
        <v>12.09</v>
      </c>
      <c r="Q88" t="s">
        <v>76</v>
      </c>
    </row>
    <row r="89" spans="1:17" x14ac:dyDescent="0.3">
      <c r="A89">
        <v>52</v>
      </c>
      <c r="B89" s="335" t="s">
        <v>96</v>
      </c>
      <c r="C89" s="2">
        <v>115</v>
      </c>
      <c r="D89" s="2">
        <v>100</v>
      </c>
      <c r="E89" s="8">
        <v>70</v>
      </c>
      <c r="F89" s="12">
        <f t="shared" si="17"/>
        <v>0.7</v>
      </c>
      <c r="G89">
        <v>431</v>
      </c>
      <c r="H89" s="249" t="s">
        <v>26</v>
      </c>
      <c r="I89" s="44" t="s">
        <v>34</v>
      </c>
      <c r="J89" s="45">
        <v>25</v>
      </c>
      <c r="K89" s="18">
        <v>127</v>
      </c>
      <c r="L89" s="18">
        <f t="shared" si="18"/>
        <v>5.08</v>
      </c>
      <c r="M89" s="30">
        <v>1</v>
      </c>
      <c r="N89" s="44">
        <v>2</v>
      </c>
      <c r="O89" s="24">
        <f t="shared" si="19"/>
        <v>10.16</v>
      </c>
      <c r="Q89" t="s">
        <v>74</v>
      </c>
    </row>
    <row r="90" spans="1:17" x14ac:dyDescent="0.3">
      <c r="A90">
        <v>53</v>
      </c>
      <c r="B90" s="336"/>
      <c r="C90" s="3">
        <v>135</v>
      </c>
      <c r="D90" s="3">
        <v>100</v>
      </c>
      <c r="E90" s="9">
        <v>81</v>
      </c>
      <c r="F90" s="13">
        <f t="shared" si="17"/>
        <v>0.81</v>
      </c>
      <c r="G90">
        <v>432</v>
      </c>
      <c r="H90" s="249" t="s">
        <v>26</v>
      </c>
      <c r="I90" s="44" t="s">
        <v>34</v>
      </c>
      <c r="J90" s="45">
        <v>25</v>
      </c>
      <c r="K90" s="18">
        <v>127</v>
      </c>
      <c r="L90" s="18">
        <f t="shared" si="18"/>
        <v>5.08</v>
      </c>
      <c r="M90" s="30">
        <v>1.5</v>
      </c>
      <c r="N90" s="42">
        <v>2.2999999999999998</v>
      </c>
      <c r="O90" s="24">
        <f t="shared" si="19"/>
        <v>11.68</v>
      </c>
      <c r="Q90" t="s">
        <v>75</v>
      </c>
    </row>
    <row r="91" spans="1:17" x14ac:dyDescent="0.3">
      <c r="A91">
        <v>54</v>
      </c>
      <c r="B91" s="336"/>
      <c r="C91" s="3">
        <v>155</v>
      </c>
      <c r="D91" s="3">
        <v>100</v>
      </c>
      <c r="E91" s="9">
        <v>98</v>
      </c>
      <c r="F91" s="13">
        <f t="shared" si="17"/>
        <v>0.98</v>
      </c>
      <c r="G91">
        <v>433</v>
      </c>
      <c r="H91" s="249" t="s">
        <v>26</v>
      </c>
      <c r="I91" s="44" t="s">
        <v>34</v>
      </c>
      <c r="J91" s="44">
        <v>25</v>
      </c>
      <c r="K91" s="18">
        <v>127</v>
      </c>
      <c r="L91" s="18">
        <f t="shared" si="18"/>
        <v>5.08</v>
      </c>
      <c r="M91" s="30">
        <v>2</v>
      </c>
      <c r="N91" s="42">
        <v>3</v>
      </c>
      <c r="O91" s="24">
        <f t="shared" si="19"/>
        <v>15.24</v>
      </c>
      <c r="Q91" t="s">
        <v>76</v>
      </c>
    </row>
    <row r="92" spans="1:17" x14ac:dyDescent="0.3">
      <c r="A92">
        <v>55</v>
      </c>
      <c r="B92" s="336"/>
      <c r="C92" s="3">
        <v>175</v>
      </c>
      <c r="D92" s="3">
        <v>100</v>
      </c>
      <c r="E92" s="9">
        <v>118</v>
      </c>
      <c r="F92" s="13">
        <f t="shared" si="17"/>
        <v>1.18</v>
      </c>
      <c r="G92">
        <v>441</v>
      </c>
      <c r="H92" s="249" t="s">
        <v>26</v>
      </c>
      <c r="I92" s="45" t="s">
        <v>35</v>
      </c>
      <c r="J92" s="45">
        <v>25</v>
      </c>
      <c r="K92" s="18">
        <v>148.75</v>
      </c>
      <c r="L92" s="18">
        <f t="shared" si="18"/>
        <v>5.95</v>
      </c>
      <c r="M92" s="30">
        <v>1</v>
      </c>
      <c r="N92" s="44">
        <v>2</v>
      </c>
      <c r="O92" s="24">
        <f t="shared" si="19"/>
        <v>11.9</v>
      </c>
      <c r="Q92" t="s">
        <v>74</v>
      </c>
    </row>
    <row r="93" spans="1:17" x14ac:dyDescent="0.3">
      <c r="A93">
        <v>56</v>
      </c>
      <c r="B93" s="336"/>
      <c r="C93" s="3">
        <v>195</v>
      </c>
      <c r="D93" s="3">
        <v>100</v>
      </c>
      <c r="E93" s="9">
        <v>144</v>
      </c>
      <c r="F93" s="13">
        <f t="shared" si="17"/>
        <v>1.44</v>
      </c>
      <c r="G93">
        <v>442</v>
      </c>
      <c r="H93" s="249" t="s">
        <v>26</v>
      </c>
      <c r="I93" s="45" t="s">
        <v>35</v>
      </c>
      <c r="J93" s="45">
        <v>25</v>
      </c>
      <c r="K93" s="18">
        <v>148.75</v>
      </c>
      <c r="L93" s="18">
        <f t="shared" si="18"/>
        <v>5.95</v>
      </c>
      <c r="M93" s="30">
        <v>1.5</v>
      </c>
      <c r="N93" s="42">
        <v>2.2999999999999998</v>
      </c>
      <c r="O93" s="24">
        <f t="shared" si="19"/>
        <v>13.69</v>
      </c>
      <c r="Q93" t="s">
        <v>75</v>
      </c>
    </row>
    <row r="94" spans="1:17" x14ac:dyDescent="0.3">
      <c r="A94">
        <v>57</v>
      </c>
      <c r="B94" s="336"/>
      <c r="C94" s="3">
        <v>215</v>
      </c>
      <c r="D94" s="3">
        <v>100</v>
      </c>
      <c r="E94" s="9">
        <v>160</v>
      </c>
      <c r="F94" s="13">
        <f t="shared" si="17"/>
        <v>1.6</v>
      </c>
      <c r="G94">
        <v>443</v>
      </c>
      <c r="H94" s="249" t="s">
        <v>26</v>
      </c>
      <c r="I94" s="45" t="s">
        <v>35</v>
      </c>
      <c r="J94" s="44">
        <v>25</v>
      </c>
      <c r="K94" s="18">
        <v>148.75</v>
      </c>
      <c r="L94" s="18">
        <f t="shared" si="18"/>
        <v>5.95</v>
      </c>
      <c r="M94" s="30">
        <v>2</v>
      </c>
      <c r="N94" s="42">
        <v>3</v>
      </c>
      <c r="O94" s="24">
        <f t="shared" si="19"/>
        <v>17.850000000000001</v>
      </c>
      <c r="Q94" t="s">
        <v>76</v>
      </c>
    </row>
    <row r="95" spans="1:17" ht="15" thickBot="1" x14ac:dyDescent="0.35">
      <c r="A95">
        <v>58</v>
      </c>
      <c r="B95" s="337"/>
      <c r="C95" s="4">
        <v>235</v>
      </c>
      <c r="D95" s="4">
        <v>100</v>
      </c>
      <c r="E95" s="10">
        <v>177</v>
      </c>
      <c r="F95" s="14">
        <f t="shared" si="17"/>
        <v>1.77</v>
      </c>
      <c r="G95">
        <v>511</v>
      </c>
      <c r="H95" s="249" t="s">
        <v>27</v>
      </c>
      <c r="I95" s="44" t="s">
        <v>31</v>
      </c>
      <c r="J95" s="44">
        <v>25</v>
      </c>
      <c r="K95" s="18">
        <v>155.5</v>
      </c>
      <c r="L95" s="18">
        <f t="shared" si="18"/>
        <v>6.22</v>
      </c>
      <c r="M95" s="30">
        <v>1</v>
      </c>
      <c r="N95" s="44">
        <v>2</v>
      </c>
      <c r="O95" s="24">
        <f t="shared" si="19"/>
        <v>12.44</v>
      </c>
      <c r="Q95" t="s">
        <v>74</v>
      </c>
    </row>
    <row r="96" spans="1:17" x14ac:dyDescent="0.3">
      <c r="A96">
        <v>60</v>
      </c>
      <c r="B96" s="335" t="s">
        <v>103</v>
      </c>
      <c r="C96" s="2">
        <v>75</v>
      </c>
      <c r="D96" s="2">
        <v>200</v>
      </c>
      <c r="E96" s="2">
        <v>60</v>
      </c>
      <c r="F96" s="12">
        <f t="shared" si="17"/>
        <v>0.3</v>
      </c>
      <c r="G96">
        <v>512</v>
      </c>
      <c r="H96" s="249" t="s">
        <v>27</v>
      </c>
      <c r="I96" s="44" t="s">
        <v>31</v>
      </c>
      <c r="J96" s="45">
        <v>25</v>
      </c>
      <c r="K96" s="18">
        <v>155.5</v>
      </c>
      <c r="L96" s="18">
        <f t="shared" si="18"/>
        <v>6.22</v>
      </c>
      <c r="M96" s="30">
        <v>1.5</v>
      </c>
      <c r="N96" s="30">
        <v>2.2999999999999998</v>
      </c>
      <c r="O96" s="24">
        <f t="shared" si="19"/>
        <v>14.31</v>
      </c>
      <c r="Q96" t="s">
        <v>75</v>
      </c>
    </row>
    <row r="97" spans="1:17" x14ac:dyDescent="0.3">
      <c r="A97">
        <v>61</v>
      </c>
      <c r="B97" s="336"/>
      <c r="C97" s="3">
        <v>95</v>
      </c>
      <c r="D97" s="3">
        <v>200</v>
      </c>
      <c r="E97" s="3">
        <v>62</v>
      </c>
      <c r="F97" s="13">
        <f t="shared" si="17"/>
        <v>0.31</v>
      </c>
      <c r="G97">
        <v>513</v>
      </c>
      <c r="H97" s="249" t="s">
        <v>27</v>
      </c>
      <c r="I97" s="44" t="s">
        <v>31</v>
      </c>
      <c r="J97" s="44">
        <v>25</v>
      </c>
      <c r="K97" s="18">
        <v>155.5</v>
      </c>
      <c r="L97" s="18">
        <f t="shared" si="18"/>
        <v>6.22</v>
      </c>
      <c r="M97" s="30">
        <v>2</v>
      </c>
      <c r="N97" s="30">
        <v>3</v>
      </c>
      <c r="O97" s="24">
        <f t="shared" si="19"/>
        <v>18.66</v>
      </c>
      <c r="Q97" t="s">
        <v>76</v>
      </c>
    </row>
    <row r="98" spans="1:17" x14ac:dyDescent="0.3">
      <c r="A98">
        <v>62</v>
      </c>
      <c r="B98" s="336"/>
      <c r="C98" s="3">
        <v>115</v>
      </c>
      <c r="D98" s="3">
        <v>200</v>
      </c>
      <c r="E98" s="3">
        <v>72</v>
      </c>
      <c r="F98" s="13">
        <f t="shared" si="17"/>
        <v>0.36</v>
      </c>
      <c r="G98">
        <v>521</v>
      </c>
      <c r="H98" s="249" t="s">
        <v>27</v>
      </c>
      <c r="I98" s="44" t="s">
        <v>33</v>
      </c>
      <c r="J98" s="44">
        <v>25</v>
      </c>
      <c r="K98" s="18">
        <v>167.75</v>
      </c>
      <c r="L98" s="18">
        <f t="shared" si="18"/>
        <v>6.71</v>
      </c>
      <c r="M98" s="30">
        <v>1</v>
      </c>
      <c r="N98" s="44">
        <v>2</v>
      </c>
      <c r="O98" s="24">
        <f t="shared" si="19"/>
        <v>13.42</v>
      </c>
      <c r="Q98" t="s">
        <v>74</v>
      </c>
    </row>
    <row r="99" spans="1:17" x14ac:dyDescent="0.3">
      <c r="A99">
        <v>63</v>
      </c>
      <c r="B99" s="336"/>
      <c r="C99" s="3">
        <v>135</v>
      </c>
      <c r="D99" s="3">
        <v>200</v>
      </c>
      <c r="E99" s="3">
        <v>80</v>
      </c>
      <c r="F99" s="13">
        <f t="shared" si="17"/>
        <v>0.4</v>
      </c>
      <c r="G99">
        <v>522</v>
      </c>
      <c r="H99" s="249" t="s">
        <v>27</v>
      </c>
      <c r="I99" s="44" t="s">
        <v>33</v>
      </c>
      <c r="J99" s="45">
        <v>25</v>
      </c>
      <c r="K99" s="18">
        <v>167.75</v>
      </c>
      <c r="L99" s="18">
        <f t="shared" si="18"/>
        <v>6.71</v>
      </c>
      <c r="M99" s="30">
        <v>1.5</v>
      </c>
      <c r="N99" s="30">
        <v>2.2999999999999998</v>
      </c>
      <c r="O99" s="24">
        <f t="shared" si="19"/>
        <v>15.43</v>
      </c>
      <c r="Q99" t="s">
        <v>75</v>
      </c>
    </row>
    <row r="100" spans="1:17" x14ac:dyDescent="0.3">
      <c r="A100">
        <v>64</v>
      </c>
      <c r="B100" s="336"/>
      <c r="C100" s="3">
        <v>155</v>
      </c>
      <c r="D100" s="3">
        <v>200</v>
      </c>
      <c r="E100" s="3">
        <v>88</v>
      </c>
      <c r="F100" s="13">
        <f t="shared" si="17"/>
        <v>0.44</v>
      </c>
      <c r="G100">
        <v>523</v>
      </c>
      <c r="H100" s="249" t="s">
        <v>27</v>
      </c>
      <c r="I100" s="44" t="s">
        <v>33</v>
      </c>
      <c r="J100" s="44">
        <v>25</v>
      </c>
      <c r="K100" s="18">
        <v>167.75</v>
      </c>
      <c r="L100" s="18">
        <f t="shared" ref="L100:L114" si="20">ROUND(K100/J100,2)</f>
        <v>6.71</v>
      </c>
      <c r="M100" s="30">
        <v>2</v>
      </c>
      <c r="N100" s="30">
        <v>3</v>
      </c>
      <c r="O100" s="24">
        <f t="shared" ref="O100:O114" si="21">ROUND(N100*L100,2)</f>
        <v>20.13</v>
      </c>
      <c r="Q100" t="s">
        <v>76</v>
      </c>
    </row>
    <row r="101" spans="1:17" ht="15" thickBot="1" x14ac:dyDescent="0.35">
      <c r="A101">
        <v>65</v>
      </c>
      <c r="B101" s="337"/>
      <c r="C101" s="4">
        <v>175</v>
      </c>
      <c r="D101" s="4">
        <v>100</v>
      </c>
      <c r="E101" s="4">
        <v>48</v>
      </c>
      <c r="F101" s="14">
        <f t="shared" si="17"/>
        <v>0.48</v>
      </c>
      <c r="G101">
        <v>531</v>
      </c>
      <c r="H101" s="249" t="s">
        <v>27</v>
      </c>
      <c r="I101" s="44" t="s">
        <v>34</v>
      </c>
      <c r="J101" s="44">
        <v>25</v>
      </c>
      <c r="K101" s="18">
        <v>200.5</v>
      </c>
      <c r="L101" s="18">
        <f t="shared" si="20"/>
        <v>8.02</v>
      </c>
      <c r="M101" s="30">
        <v>1</v>
      </c>
      <c r="N101" s="44">
        <v>2</v>
      </c>
      <c r="O101" s="24">
        <f t="shared" si="21"/>
        <v>16.04</v>
      </c>
      <c r="Q101" t="s">
        <v>74</v>
      </c>
    </row>
    <row r="102" spans="1:17" x14ac:dyDescent="0.3">
      <c r="G102">
        <v>532</v>
      </c>
      <c r="H102" s="249" t="s">
        <v>27</v>
      </c>
      <c r="I102" s="44" t="s">
        <v>34</v>
      </c>
      <c r="J102" s="45">
        <v>25</v>
      </c>
      <c r="K102" s="18">
        <v>200.5</v>
      </c>
      <c r="L102" s="18">
        <f t="shared" si="20"/>
        <v>8.02</v>
      </c>
      <c r="M102" s="30">
        <v>1.5</v>
      </c>
      <c r="N102" s="30">
        <v>2.2999999999999998</v>
      </c>
      <c r="O102" s="24">
        <f t="shared" si="21"/>
        <v>18.45</v>
      </c>
      <c r="Q102" t="s">
        <v>75</v>
      </c>
    </row>
    <row r="103" spans="1:17" x14ac:dyDescent="0.3">
      <c r="G103">
        <v>533</v>
      </c>
      <c r="H103" s="249" t="s">
        <v>27</v>
      </c>
      <c r="I103" s="44" t="s">
        <v>34</v>
      </c>
      <c r="J103" s="44">
        <v>25</v>
      </c>
      <c r="K103" s="18">
        <v>200.5</v>
      </c>
      <c r="L103" s="18">
        <f t="shared" si="20"/>
        <v>8.02</v>
      </c>
      <c r="M103" s="30">
        <v>2</v>
      </c>
      <c r="N103" s="30">
        <v>3</v>
      </c>
      <c r="O103" s="24">
        <f t="shared" si="21"/>
        <v>24.06</v>
      </c>
      <c r="Q103" t="s">
        <v>76</v>
      </c>
    </row>
    <row r="104" spans="1:17" x14ac:dyDescent="0.3">
      <c r="B104" t="s">
        <v>96</v>
      </c>
      <c r="G104">
        <v>541</v>
      </c>
      <c r="H104" s="249" t="s">
        <v>27</v>
      </c>
      <c r="I104" s="45" t="s">
        <v>35</v>
      </c>
      <c r="J104" s="44">
        <v>25</v>
      </c>
      <c r="K104" s="18">
        <v>232.25</v>
      </c>
      <c r="L104" s="18">
        <f t="shared" si="20"/>
        <v>9.2899999999999991</v>
      </c>
      <c r="M104" s="30">
        <v>1</v>
      </c>
      <c r="N104" s="44">
        <v>2</v>
      </c>
      <c r="O104" s="24">
        <f t="shared" si="21"/>
        <v>18.579999999999998</v>
      </c>
      <c r="Q104" t="s">
        <v>74</v>
      </c>
    </row>
    <row r="105" spans="1:17" x14ac:dyDescent="0.3">
      <c r="B105" t="s">
        <v>54</v>
      </c>
      <c r="F105" s="11"/>
      <c r="G105">
        <v>542</v>
      </c>
      <c r="H105" s="249" t="s">
        <v>27</v>
      </c>
      <c r="I105" s="45" t="s">
        <v>35</v>
      </c>
      <c r="J105" s="45">
        <v>25</v>
      </c>
      <c r="K105" s="18">
        <v>232.25</v>
      </c>
      <c r="L105" s="18">
        <f t="shared" si="20"/>
        <v>9.2899999999999991</v>
      </c>
      <c r="M105" s="30">
        <v>1.5</v>
      </c>
      <c r="N105" s="30">
        <v>2.2999999999999998</v>
      </c>
      <c r="O105" s="24">
        <f t="shared" si="21"/>
        <v>21.37</v>
      </c>
      <c r="Q105" t="s">
        <v>75</v>
      </c>
    </row>
    <row r="106" spans="1:17" x14ac:dyDescent="0.3">
      <c r="B106" t="s">
        <v>108</v>
      </c>
      <c r="F106" s="11"/>
      <c r="G106">
        <v>543</v>
      </c>
      <c r="H106" s="249" t="s">
        <v>27</v>
      </c>
      <c r="I106" s="45" t="s">
        <v>35</v>
      </c>
      <c r="J106" s="44">
        <v>25</v>
      </c>
      <c r="K106" s="18">
        <v>232.25</v>
      </c>
      <c r="L106" s="18">
        <f t="shared" si="20"/>
        <v>9.2899999999999991</v>
      </c>
      <c r="M106" s="30">
        <v>2</v>
      </c>
      <c r="N106" s="30">
        <v>3</v>
      </c>
      <c r="O106" s="24">
        <f t="shared" si="21"/>
        <v>27.87</v>
      </c>
      <c r="Q106" t="s">
        <v>76</v>
      </c>
    </row>
    <row r="107" spans="1:17" x14ac:dyDescent="0.3">
      <c r="B107" t="s">
        <v>103</v>
      </c>
      <c r="F107" s="11"/>
      <c r="G107">
        <v>551</v>
      </c>
      <c r="H107" s="249" t="s">
        <v>27</v>
      </c>
      <c r="I107" s="44" t="s">
        <v>36</v>
      </c>
      <c r="J107" s="44">
        <v>25</v>
      </c>
      <c r="K107" s="18">
        <v>277.25</v>
      </c>
      <c r="L107" s="18">
        <f t="shared" si="20"/>
        <v>11.09</v>
      </c>
      <c r="M107" s="30">
        <v>1</v>
      </c>
      <c r="N107" s="44">
        <v>2</v>
      </c>
      <c r="O107" s="24">
        <f t="shared" si="21"/>
        <v>22.18</v>
      </c>
      <c r="Q107" t="s">
        <v>74</v>
      </c>
    </row>
    <row r="108" spans="1:17" x14ac:dyDescent="0.3">
      <c r="B108" t="s">
        <v>55</v>
      </c>
      <c r="D108" s="1" t="s">
        <v>140</v>
      </c>
      <c r="E108" s="1" t="s">
        <v>141</v>
      </c>
      <c r="F108" s="11"/>
      <c r="G108">
        <v>552</v>
      </c>
      <c r="H108" s="249" t="s">
        <v>27</v>
      </c>
      <c r="I108" s="44" t="s">
        <v>36</v>
      </c>
      <c r="J108" s="45">
        <v>25</v>
      </c>
      <c r="K108" s="18">
        <v>277.25</v>
      </c>
      <c r="L108" s="18">
        <f t="shared" si="20"/>
        <v>11.09</v>
      </c>
      <c r="M108" s="30">
        <v>1.5</v>
      </c>
      <c r="N108" s="30">
        <v>2.2999999999999998</v>
      </c>
      <c r="O108" s="24">
        <f t="shared" si="21"/>
        <v>25.51</v>
      </c>
      <c r="Q108" t="s">
        <v>75</v>
      </c>
    </row>
    <row r="109" spans="1:17" x14ac:dyDescent="0.3">
      <c r="B109">
        <f>IF(CLASSIC!B21=Folha3!B107,60,IF(CLASSIC!B21=Folha3!B105,10,IF(CLASSIC!B21=Folha3!B106,20,IF(CLASSIC!B21=Folha3!B108,40,IF(CLASSIC!B21=Folha3!B104,50,0)))))</f>
        <v>10</v>
      </c>
      <c r="D109" s="1">
        <f>IF(VELLUTO!B25=Folha3!B107,60,IF(VELLUTO!B25=Folha3!B105,10,IF(VELLUTO!B25=Folha3!B106,20,IF(VELLUTO!B25=Folha3!B108,40,IF(VELLUTO!B25=Folha3!B104,50,0)))))</f>
        <v>10</v>
      </c>
      <c r="E109" s="1">
        <f>IF(RIVESTO!B12=Folha3!B107,60,IF(RIVESTO!B12=Folha3!B105,10,IF(RIVESTO!B12=Folha3!B106,20,IF(RIVESTO!B12=Folha3!B108,40,IF(RIVESTO!B12=Folha3!B104,50,0)))))</f>
        <v>10</v>
      </c>
      <c r="F109" s="11"/>
      <c r="G109">
        <v>553</v>
      </c>
      <c r="H109" s="249" t="s">
        <v>27</v>
      </c>
      <c r="I109" s="44" t="s">
        <v>36</v>
      </c>
      <c r="J109" s="44">
        <v>25</v>
      </c>
      <c r="K109" s="18">
        <v>277.25</v>
      </c>
      <c r="L109" s="18">
        <f t="shared" si="20"/>
        <v>11.09</v>
      </c>
      <c r="M109" s="30">
        <v>2</v>
      </c>
      <c r="N109" s="30">
        <v>3</v>
      </c>
      <c r="O109" s="24">
        <f t="shared" si="21"/>
        <v>33.270000000000003</v>
      </c>
      <c r="Q109" t="s">
        <v>76</v>
      </c>
    </row>
    <row r="110" spans="1:17" x14ac:dyDescent="0.3">
      <c r="B110">
        <f>IF(CLASSIC!B22=Folha3!C66,1,IF(CLASSIC!B22=Folha3!C67,2,IF(CLASSIC!B22=Folha3!C68,3,IF(CLASSIC!B22=Folha3!C69,4,IF(CLASSIC!B22=Folha3!C70,5,IF(CLASSIC!B22=Folha3!C71,6,IF(CLASSIC!B22=Folha3!C72,1,IF(CLASSIC!B22=Folha3!C73,2,IF(CLASSIC!B22=Folha3!C74,3,IF(CLASSIC!B22=Folha3!C75,4,IF(CLASSIC!B22=Folha3!C76,5,IF(CLASSIC!B22=Folha3!C77,6,IF(CLASSIC!B22=Folha3!C78,7,IF(CLASSIC!B22=Folha3!C79,8,IF(CLASSIC!B22=Folha3!C80,9,IF(CLASSIC!B22=Folha3!C81,10,IF(CLASSIC!B22=Folha3!C82,11,IF(CLASSIC!B22=C83,1,IF(CLASSIC!B22=C84,2,IF(CLASSIC!B22=C85,6,IF(CLASSIC!B22=Folha3!C96,0,"SOB CONSULTA")))))))))))))))))))))</f>
        <v>1</v>
      </c>
      <c r="D110" s="1">
        <f>IF(VELLUTO!B26=Folha3!C66,1,IF(VELLUTO!B26=Folha3!C67,2,IF(VELLUTO!B26=Folha3!C68,3,IF(VELLUTO!B26=Folha3!C69,4,IF(VELLUTO!B26=Folha3!C70,5,IF(VELLUTO!B26=Folha3!C71,6,IF(VELLUTO!B26=Folha3!C72,1,IF(VELLUTO!B26=Folha3!C73,2,IF(VELLUTO!B26=Folha3!C74,3,IF(VELLUTO!B26=Folha3!C75,4,IF(VELLUTO!B26=Folha3!C76,5,IF(VELLUTO!B26=Folha3!C77,6,IF(VELLUTO!B26=Folha3!C78,7,IF(VELLUTO!B26=Folha3!C79,8,IF(VELLUTO!B26=Folha3!C80,9,IF(VELLUTO!B26=Folha3!C81,10,IF(VELLUTO!B26=Folha3!C82,11,IF(VELLUTO!B26=C83,1,IF(VELLUTO!B26=C84,2,IF(VELLUTO!B26=C85,6,IF(VELLUTO!B26=Folha3!C96,0,"SOB CONSULTA")))))))))))))))))))))</f>
        <v>1</v>
      </c>
      <c r="E110" s="1">
        <f>IF(RIVESTO!B13=Folha3!C66,1,IF(RIVESTO!B13=Folha3!C67,2,IF(RIVESTO!B13=Folha3!C68,3,IF(RIVESTO!B13=Folha3!C69,4,IF(RIVESTO!B13=Folha3!C70,5,IF(RIVESTO!B13=Folha3!C71,6,IF(RIVESTO!B13=Folha3!C72,1,IF(RIVESTO!B13=Folha3!C73,2,IF(RIVESTO!B13=Folha3!C74,3,IF(RIVESTO!B13=Folha3!C75,4,IF(RIVESTO!B13=Folha3!C76,5,IF(RIVESTO!B13=Folha3!C77,6,IF(RIVESTO!B13=Folha3!C78,7,IF(RIVESTO!B13=Folha3!C79,8,IF(RIVESTO!B13=Folha3!C80,9,IF(RIVESTO!B13=Folha3!C81,10,IF(RIVESTO!B13=Folha3!C82,11,IF(RIVESTO!B13=C83,1,IF(RIVESTO!B13=C84,2,IF(RIVESTO!B13=C85,6,IF(RIVESTO!B13=Folha3!C96,0,"SOB CONSULTA")))))))))))))))))))))</f>
        <v>2</v>
      </c>
      <c r="F110" s="11"/>
      <c r="G110">
        <v>561</v>
      </c>
      <c r="H110" s="249" t="s">
        <v>27</v>
      </c>
      <c r="I110" s="44" t="s">
        <v>37</v>
      </c>
      <c r="J110" s="44">
        <v>25</v>
      </c>
      <c r="K110" s="18">
        <v>387</v>
      </c>
      <c r="L110" s="18">
        <f t="shared" si="20"/>
        <v>15.48</v>
      </c>
      <c r="M110" s="30">
        <v>1</v>
      </c>
      <c r="N110" s="44">
        <v>2</v>
      </c>
      <c r="O110" s="24">
        <f t="shared" si="21"/>
        <v>30.96</v>
      </c>
      <c r="Q110" t="s">
        <v>74</v>
      </c>
    </row>
    <row r="111" spans="1:17" x14ac:dyDescent="0.3">
      <c r="B111">
        <f>SUM(B109:B110)</f>
        <v>11</v>
      </c>
      <c r="D111" s="1">
        <f>SUM(D109:D110)</f>
        <v>11</v>
      </c>
      <c r="E111" s="1">
        <f>SUM(E109:E110)</f>
        <v>12</v>
      </c>
      <c r="F111" s="11"/>
      <c r="G111">
        <v>562</v>
      </c>
      <c r="H111" s="249" t="s">
        <v>27</v>
      </c>
      <c r="I111" s="44" t="s">
        <v>37</v>
      </c>
      <c r="J111" s="45">
        <v>25</v>
      </c>
      <c r="K111" s="18">
        <v>387</v>
      </c>
      <c r="L111" s="18">
        <f t="shared" si="20"/>
        <v>15.48</v>
      </c>
      <c r="M111" s="30">
        <v>1.5</v>
      </c>
      <c r="N111" s="30">
        <v>2.2999999999999998</v>
      </c>
      <c r="O111" s="24">
        <f t="shared" si="21"/>
        <v>35.6</v>
      </c>
      <c r="Q111" t="s">
        <v>75</v>
      </c>
    </row>
    <row r="112" spans="1:17" ht="15" thickBot="1" x14ac:dyDescent="0.35">
      <c r="F112" s="11"/>
      <c r="G112">
        <v>563</v>
      </c>
      <c r="H112" s="258" t="s">
        <v>27</v>
      </c>
      <c r="I112" s="22" t="s">
        <v>37</v>
      </c>
      <c r="J112" s="22">
        <v>25</v>
      </c>
      <c r="K112" s="23">
        <v>387</v>
      </c>
      <c r="L112" s="23">
        <f t="shared" si="20"/>
        <v>15.48</v>
      </c>
      <c r="M112" s="31">
        <v>2</v>
      </c>
      <c r="N112" s="31">
        <v>3</v>
      </c>
      <c r="O112" s="25">
        <f t="shared" si="21"/>
        <v>46.44</v>
      </c>
      <c r="Q112" t="s">
        <v>76</v>
      </c>
    </row>
    <row r="113" spans="1:17" ht="15" thickBot="1" x14ac:dyDescent="0.35">
      <c r="F113" s="11"/>
      <c r="G113">
        <v>613</v>
      </c>
      <c r="H113" s="259" t="s">
        <v>114</v>
      </c>
      <c r="I113" s="156" t="s">
        <v>31</v>
      </c>
      <c r="J113" s="156">
        <v>24</v>
      </c>
      <c r="K113" s="250">
        <v>99.25</v>
      </c>
      <c r="L113" s="155">
        <f t="shared" si="20"/>
        <v>4.1399999999999997</v>
      </c>
      <c r="M113" s="153">
        <v>2</v>
      </c>
      <c r="N113" s="153">
        <v>2.4</v>
      </c>
      <c r="O113" s="157">
        <f t="shared" si="21"/>
        <v>9.94</v>
      </c>
      <c r="Q113" t="s">
        <v>117</v>
      </c>
    </row>
    <row r="114" spans="1:17" x14ac:dyDescent="0.3">
      <c r="A114">
        <v>11</v>
      </c>
      <c r="B114" s="335" t="s">
        <v>59</v>
      </c>
      <c r="C114" s="5">
        <v>30</v>
      </c>
      <c r="D114" s="5">
        <v>25</v>
      </c>
      <c r="E114" s="243">
        <v>113.19</v>
      </c>
      <c r="F114" s="244">
        <f>E114/D114</f>
        <v>4.5275999999999996</v>
      </c>
      <c r="G114">
        <v>623</v>
      </c>
      <c r="H114" s="47" t="s">
        <v>114</v>
      </c>
      <c r="I114" s="156" t="s">
        <v>33</v>
      </c>
      <c r="J114" s="156">
        <v>24</v>
      </c>
      <c r="K114" s="250">
        <v>99.25</v>
      </c>
      <c r="L114" s="155">
        <f t="shared" si="20"/>
        <v>4.1399999999999997</v>
      </c>
      <c r="M114" s="153">
        <v>2</v>
      </c>
      <c r="N114" s="153">
        <v>2.4</v>
      </c>
      <c r="O114" s="157">
        <f t="shared" si="21"/>
        <v>9.94</v>
      </c>
      <c r="Q114" t="s">
        <v>117</v>
      </c>
    </row>
    <row r="115" spans="1:17" x14ac:dyDescent="0.3">
      <c r="A115">
        <v>12</v>
      </c>
      <c r="B115" s="336"/>
      <c r="C115" s="6">
        <v>40</v>
      </c>
      <c r="D115" s="6">
        <v>25</v>
      </c>
      <c r="E115" s="245">
        <v>117.81</v>
      </c>
      <c r="F115" s="246">
        <f t="shared" ref="F115:F128" si="22">E115/D115</f>
        <v>4.7123999999999997</v>
      </c>
      <c r="H115" s="47"/>
    </row>
    <row r="116" spans="1:17" x14ac:dyDescent="0.3">
      <c r="A116">
        <v>13</v>
      </c>
      <c r="B116" s="336"/>
      <c r="C116" s="6">
        <v>50</v>
      </c>
      <c r="D116" s="6">
        <v>25</v>
      </c>
      <c r="E116" s="245">
        <v>129.36000000000001</v>
      </c>
      <c r="F116" s="246">
        <f t="shared" si="22"/>
        <v>5.1744000000000003</v>
      </c>
      <c r="H116" s="47"/>
    </row>
    <row r="117" spans="1:17" x14ac:dyDescent="0.3">
      <c r="A117">
        <v>14</v>
      </c>
      <c r="B117" s="336"/>
      <c r="C117" s="6">
        <v>60</v>
      </c>
      <c r="D117" s="6">
        <v>25</v>
      </c>
      <c r="E117" s="245">
        <v>150.15</v>
      </c>
      <c r="F117" s="246">
        <f t="shared" si="22"/>
        <v>6.0060000000000002</v>
      </c>
      <c r="H117" s="47"/>
    </row>
    <row r="118" spans="1:17" x14ac:dyDescent="0.3">
      <c r="A118">
        <v>15</v>
      </c>
      <c r="B118" s="336"/>
      <c r="C118" s="6">
        <v>70</v>
      </c>
      <c r="D118" s="6">
        <v>25</v>
      </c>
      <c r="E118" s="245">
        <v>161.69999999999999</v>
      </c>
      <c r="F118" s="246">
        <f t="shared" si="22"/>
        <v>6.468</v>
      </c>
      <c r="H118" s="47"/>
    </row>
    <row r="119" spans="1:17" x14ac:dyDescent="0.3">
      <c r="A119">
        <v>16</v>
      </c>
      <c r="B119" s="336"/>
      <c r="C119" s="6">
        <v>80</v>
      </c>
      <c r="D119" s="6">
        <v>25</v>
      </c>
      <c r="E119" s="245">
        <v>173.25</v>
      </c>
      <c r="F119" s="246">
        <f t="shared" si="22"/>
        <v>6.93</v>
      </c>
      <c r="H119" s="47"/>
    </row>
    <row r="120" spans="1:17" x14ac:dyDescent="0.3">
      <c r="A120">
        <v>17</v>
      </c>
      <c r="B120" s="336"/>
      <c r="C120" s="6">
        <v>90</v>
      </c>
      <c r="D120" s="6">
        <v>25</v>
      </c>
      <c r="E120" s="245">
        <v>184.8</v>
      </c>
      <c r="F120" s="246">
        <f t="shared" si="22"/>
        <v>7.3920000000000003</v>
      </c>
      <c r="H120" s="47"/>
    </row>
    <row r="121" spans="1:17" x14ac:dyDescent="0.3">
      <c r="A121">
        <v>18</v>
      </c>
      <c r="B121" s="336"/>
      <c r="C121" s="6">
        <v>105</v>
      </c>
      <c r="D121" s="6">
        <v>2.5</v>
      </c>
      <c r="E121" s="245">
        <v>19.48</v>
      </c>
      <c r="F121" s="246">
        <f t="shared" si="22"/>
        <v>7.7919999999999998</v>
      </c>
      <c r="H121" s="47"/>
    </row>
    <row r="122" spans="1:17" x14ac:dyDescent="0.3">
      <c r="A122">
        <v>19</v>
      </c>
      <c r="B122" s="336"/>
      <c r="C122" s="6">
        <v>123</v>
      </c>
      <c r="D122" s="6">
        <v>2.5</v>
      </c>
      <c r="E122" s="245">
        <v>25.41</v>
      </c>
      <c r="F122" s="246">
        <f t="shared" si="22"/>
        <v>10.164</v>
      </c>
      <c r="H122" s="47"/>
    </row>
    <row r="123" spans="1:17" x14ac:dyDescent="0.3">
      <c r="A123">
        <v>20</v>
      </c>
      <c r="B123" s="336"/>
      <c r="C123" s="6">
        <v>143</v>
      </c>
      <c r="D123" s="6">
        <v>2.5</v>
      </c>
      <c r="E123" s="245">
        <v>30.03</v>
      </c>
      <c r="F123" s="246">
        <f t="shared" si="22"/>
        <v>12.012</v>
      </c>
      <c r="H123" s="47"/>
    </row>
    <row r="124" spans="1:17" x14ac:dyDescent="0.3">
      <c r="A124">
        <v>21</v>
      </c>
      <c r="B124" s="336"/>
      <c r="C124" s="6">
        <v>160</v>
      </c>
      <c r="D124" s="6">
        <v>2.5</v>
      </c>
      <c r="E124" s="245">
        <v>38.93</v>
      </c>
      <c r="F124" s="246">
        <f t="shared" si="22"/>
        <v>15.571999999999999</v>
      </c>
      <c r="H124" s="47"/>
    </row>
    <row r="125" spans="1:17" ht="15" thickBot="1" x14ac:dyDescent="0.35">
      <c r="A125">
        <v>22</v>
      </c>
      <c r="B125" s="337"/>
      <c r="C125" s="7">
        <v>180</v>
      </c>
      <c r="D125" s="7">
        <v>2.5</v>
      </c>
      <c r="E125" s="247">
        <v>43.09</v>
      </c>
      <c r="F125" s="248">
        <f t="shared" si="22"/>
        <v>17.236000000000001</v>
      </c>
      <c r="H125" s="47"/>
    </row>
    <row r="126" spans="1:17" x14ac:dyDescent="0.3">
      <c r="A126">
        <v>31</v>
      </c>
      <c r="B126" s="335" t="s">
        <v>58</v>
      </c>
      <c r="C126" s="6" t="s">
        <v>60</v>
      </c>
      <c r="D126" s="241">
        <v>20</v>
      </c>
      <c r="E126" s="245">
        <v>222.4</v>
      </c>
      <c r="F126" s="246">
        <f t="shared" si="22"/>
        <v>11.120000000000001</v>
      </c>
      <c r="H126" s="47"/>
    </row>
    <row r="127" spans="1:17" x14ac:dyDescent="0.3">
      <c r="A127">
        <v>32</v>
      </c>
      <c r="B127" s="336"/>
      <c r="C127" s="6" t="s">
        <v>61</v>
      </c>
      <c r="D127" s="241">
        <v>20</v>
      </c>
      <c r="E127" s="245">
        <v>300.3</v>
      </c>
      <c r="F127" s="246">
        <f t="shared" si="22"/>
        <v>15.015000000000001</v>
      </c>
      <c r="H127" s="47"/>
    </row>
    <row r="128" spans="1:17" ht="15" thickBot="1" x14ac:dyDescent="0.35">
      <c r="A128">
        <v>33</v>
      </c>
      <c r="B128" s="337"/>
      <c r="C128" s="7" t="s">
        <v>62</v>
      </c>
      <c r="D128" s="242">
        <v>20</v>
      </c>
      <c r="E128" s="247">
        <v>387</v>
      </c>
      <c r="F128" s="248">
        <f t="shared" si="22"/>
        <v>19.350000000000001</v>
      </c>
      <c r="H128" s="47"/>
    </row>
    <row r="129" spans="2:8" x14ac:dyDescent="0.3">
      <c r="F129" s="11"/>
      <c r="H129" s="47"/>
    </row>
    <row r="130" spans="2:8" x14ac:dyDescent="0.3">
      <c r="B130" t="s">
        <v>59</v>
      </c>
      <c r="F130" s="11"/>
      <c r="H130" s="47"/>
    </row>
    <row r="131" spans="2:8" x14ac:dyDescent="0.3">
      <c r="B131" t="s">
        <v>58</v>
      </c>
      <c r="F131" s="11"/>
      <c r="H131" s="47"/>
    </row>
    <row r="132" spans="2:8" x14ac:dyDescent="0.3">
      <c r="D132" s="1">
        <f>VLOOKUP(Folha3!B135,Folha3!A114:F128,4,FALSE)</f>
        <v>25</v>
      </c>
      <c r="F132" s="11"/>
      <c r="H132" s="47"/>
    </row>
    <row r="133" spans="2:8" x14ac:dyDescent="0.3">
      <c r="B133">
        <f>IF(CLASSIC!B29=Folha3!B130,10,IF(CLASSIC!B29=Folha3!B131,30,0))</f>
        <v>10</v>
      </c>
      <c r="F133" s="11"/>
      <c r="H133" s="47"/>
    </row>
    <row r="134" spans="2:8" x14ac:dyDescent="0.3">
      <c r="B134">
        <f>IF(CLASSIC!B30=Folha3!C114,1,IF(CLASSIC!B30=Folha3!C115,2,IF(CLASSIC!B30=Folha3!C116,3,IF(CLASSIC!B30=Folha3!C117,4,IF(CLASSIC!B30=Folha3!C118,5,IF(CLASSIC!B30=Folha3!C119,6,IF(CLASSIC!B30=Folha3!C120,7,IF(CLASSIC!B30=Folha3!C121,8,IF(CLASSIC!B30=Folha3!C122,9,IF(CLASSIC!B30=Folha3!C123,10,IF(CLASSIC!B30=Folha3!C124,11,IF(CLASSIC!B30=Folha3!C125,12,IF(CLASSIC!B30=Folha3!C126,1,IF(CLASSIC!B30=Folha3!C127,2,IF(CLASSIC!B30=Folha3!C128,3,0)))))))))))))))</f>
        <v>4</v>
      </c>
      <c r="F134" s="11"/>
      <c r="H134" s="47"/>
    </row>
    <row r="135" spans="2:8" x14ac:dyDescent="0.3">
      <c r="B135">
        <f>SUM(B133:B134)</f>
        <v>14</v>
      </c>
      <c r="F135" s="11"/>
      <c r="H135" s="47"/>
    </row>
    <row r="136" spans="2:8" ht="15" thickBot="1" x14ac:dyDescent="0.35">
      <c r="H136" s="47"/>
    </row>
    <row r="137" spans="2:8" ht="15" thickBot="1" x14ac:dyDescent="0.35">
      <c r="B137" s="254" t="s">
        <v>118</v>
      </c>
      <c r="C137" s="20">
        <v>60</v>
      </c>
      <c r="D137" s="20">
        <v>5</v>
      </c>
      <c r="E137" s="35">
        <f>F137*D137</f>
        <v>99.149999999999991</v>
      </c>
      <c r="F137" s="171">
        <v>19.829999999999998</v>
      </c>
      <c r="H137" s="47"/>
    </row>
    <row r="138" spans="2:8" ht="15" thickBot="1" x14ac:dyDescent="0.35">
      <c r="B138" s="255" t="s">
        <v>119</v>
      </c>
      <c r="C138" s="44">
        <v>80</v>
      </c>
      <c r="D138" s="44">
        <v>3.5</v>
      </c>
      <c r="E138" s="35">
        <f t="shared" ref="E138:E139" si="23">F138*D138</f>
        <v>92.504999999999995</v>
      </c>
      <c r="F138" s="24">
        <v>26.43</v>
      </c>
      <c r="H138" s="47"/>
    </row>
    <row r="139" spans="2:8" ht="15" thickBot="1" x14ac:dyDescent="0.35">
      <c r="B139" s="256" t="s">
        <v>120</v>
      </c>
      <c r="C139" s="22">
        <v>100</v>
      </c>
      <c r="D139" s="22">
        <v>3</v>
      </c>
      <c r="E139" s="35">
        <f t="shared" si="23"/>
        <v>99.12</v>
      </c>
      <c r="F139" s="25">
        <v>33.04</v>
      </c>
      <c r="H139" s="47"/>
    </row>
    <row r="140" spans="2:8" x14ac:dyDescent="0.3">
      <c r="H140" s="47"/>
    </row>
    <row r="141" spans="2:8" x14ac:dyDescent="0.3">
      <c r="H141" s="47"/>
    </row>
    <row r="142" spans="2:8" ht="15" thickBot="1" x14ac:dyDescent="0.35">
      <c r="H142" s="47"/>
    </row>
    <row r="143" spans="2:8" x14ac:dyDescent="0.3">
      <c r="B143" s="251" t="s">
        <v>53</v>
      </c>
      <c r="C143" s="171">
        <v>83.16</v>
      </c>
      <c r="H143" s="47"/>
    </row>
    <row r="144" spans="2:8" x14ac:dyDescent="0.3">
      <c r="B144" s="252" t="s">
        <v>122</v>
      </c>
      <c r="C144" s="24">
        <v>110.88</v>
      </c>
      <c r="H144" s="47"/>
    </row>
    <row r="145" spans="1:32" ht="15" thickBot="1" x14ac:dyDescent="0.35">
      <c r="B145" s="253" t="s">
        <v>135</v>
      </c>
      <c r="C145" s="25">
        <v>363</v>
      </c>
      <c r="H145" s="47"/>
    </row>
    <row r="146" spans="1:32" ht="15" thickBot="1" x14ac:dyDescent="0.35">
      <c r="H146" s="47"/>
    </row>
    <row r="147" spans="1:32" ht="15" thickBot="1" x14ac:dyDescent="0.35">
      <c r="B147" s="260" t="s">
        <v>123</v>
      </c>
      <c r="C147" s="171">
        <v>6.01</v>
      </c>
      <c r="H147" s="47"/>
    </row>
    <row r="148" spans="1:32" ht="15" thickBot="1" x14ac:dyDescent="0.35">
      <c r="B148" s="261" t="s">
        <v>124</v>
      </c>
      <c r="C148" s="171">
        <v>6.68</v>
      </c>
      <c r="H148" s="47"/>
    </row>
    <row r="149" spans="1:32" ht="15" thickBot="1" x14ac:dyDescent="0.35">
      <c r="B149" s="261" t="s">
        <v>125</v>
      </c>
      <c r="C149" s="171">
        <v>4.62</v>
      </c>
      <c r="H149" s="47"/>
    </row>
    <row r="150" spans="1:32" ht="15" thickBot="1" x14ac:dyDescent="0.35">
      <c r="B150" s="261" t="s">
        <v>126</v>
      </c>
      <c r="C150" s="171">
        <v>4.8600000000000003</v>
      </c>
      <c r="H150" s="47"/>
    </row>
    <row r="151" spans="1:32" ht="15" thickBot="1" x14ac:dyDescent="0.35">
      <c r="B151" s="262" t="s">
        <v>127</v>
      </c>
      <c r="C151" s="190">
        <v>5.73</v>
      </c>
      <c r="H151" s="47"/>
    </row>
    <row r="152" spans="1:32" x14ac:dyDescent="0.3">
      <c r="H152" s="47"/>
    </row>
    <row r="153" spans="1:32" x14ac:dyDescent="0.3">
      <c r="H153" s="47"/>
    </row>
    <row r="154" spans="1:32" x14ac:dyDescent="0.3">
      <c r="H154" s="47"/>
    </row>
    <row r="155" spans="1:32" x14ac:dyDescent="0.3">
      <c r="A155" s="198"/>
      <c r="B155" s="198"/>
      <c r="C155" s="199"/>
      <c r="D155" s="199"/>
      <c r="E155" s="199"/>
      <c r="F155" s="199"/>
      <c r="G155" s="198"/>
      <c r="H155" s="200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</row>
    <row r="156" spans="1:32" x14ac:dyDescent="0.3">
      <c r="H156" s="47"/>
    </row>
    <row r="157" spans="1:32" x14ac:dyDescent="0.3">
      <c r="B157" t="s">
        <v>128</v>
      </c>
      <c r="H157" s="47"/>
    </row>
    <row r="158" spans="1:32" ht="15" thickBot="1" x14ac:dyDescent="0.35">
      <c r="H158" s="47"/>
    </row>
    <row r="159" spans="1:32" ht="16.2" x14ac:dyDescent="0.3">
      <c r="B159" s="34" t="s">
        <v>22</v>
      </c>
      <c r="C159" s="43" t="s">
        <v>30</v>
      </c>
      <c r="D159" s="20" t="s">
        <v>131</v>
      </c>
      <c r="E159" s="20" t="s">
        <v>8</v>
      </c>
      <c r="F159" s="35" t="s">
        <v>13</v>
      </c>
      <c r="G159" s="20" t="s">
        <v>10</v>
      </c>
      <c r="H159" s="41" t="s">
        <v>29</v>
      </c>
      <c r="I159" s="20" t="s">
        <v>20</v>
      </c>
      <c r="J159" s="21" t="s">
        <v>77</v>
      </c>
    </row>
    <row r="160" spans="1:32" x14ac:dyDescent="0.3">
      <c r="B160" s="252" t="s">
        <v>24</v>
      </c>
      <c r="C160" s="44" t="s">
        <v>31</v>
      </c>
      <c r="D160" s="44" t="str">
        <f>B160&amp;C160</f>
        <v>RX 561Branco</v>
      </c>
      <c r="E160" s="44">
        <v>25</v>
      </c>
      <c r="F160" s="18">
        <v>99.25</v>
      </c>
      <c r="G160" s="18">
        <f>F160/E160</f>
        <v>3.97</v>
      </c>
      <c r="H160" s="201">
        <v>0.6</v>
      </c>
      <c r="I160" s="202">
        <v>2.5</v>
      </c>
      <c r="J160" s="204">
        <f>ROUND(G160*I160,2)</f>
        <v>9.93</v>
      </c>
    </row>
    <row r="161" spans="2:10" x14ac:dyDescent="0.3">
      <c r="B161" s="252" t="s">
        <v>24</v>
      </c>
      <c r="C161" s="44" t="s">
        <v>33</v>
      </c>
      <c r="D161" s="44" t="str">
        <f t="shared" ref="D161:D170" si="24">B161&amp;C161</f>
        <v>RX 561Faixa I</v>
      </c>
      <c r="E161" s="44">
        <v>25</v>
      </c>
      <c r="F161" s="18">
        <v>105</v>
      </c>
      <c r="G161" s="18">
        <f t="shared" ref="G161:G170" si="25">F161/E161</f>
        <v>4.2</v>
      </c>
      <c r="H161" s="201">
        <v>0.6</v>
      </c>
      <c r="I161" s="202">
        <v>2.5</v>
      </c>
      <c r="J161" s="204">
        <f t="shared" ref="J161:J170" si="26">ROUND(G161*I161,2)</f>
        <v>10.5</v>
      </c>
    </row>
    <row r="162" spans="2:10" x14ac:dyDescent="0.3">
      <c r="B162" s="252" t="s">
        <v>24</v>
      </c>
      <c r="C162" s="44" t="s">
        <v>34</v>
      </c>
      <c r="D162" s="44" t="str">
        <f t="shared" si="24"/>
        <v>RX 561Faixa II</v>
      </c>
      <c r="E162" s="44">
        <v>25</v>
      </c>
      <c r="F162" s="18">
        <v>133.25</v>
      </c>
      <c r="G162" s="18">
        <f t="shared" si="25"/>
        <v>5.33</v>
      </c>
      <c r="H162" s="201">
        <v>0.6</v>
      </c>
      <c r="I162" s="202">
        <v>2.5</v>
      </c>
      <c r="J162" s="204">
        <f t="shared" si="26"/>
        <v>13.33</v>
      </c>
    </row>
    <row r="163" spans="2:10" x14ac:dyDescent="0.3">
      <c r="B163" s="252" t="s">
        <v>24</v>
      </c>
      <c r="C163" s="44" t="s">
        <v>35</v>
      </c>
      <c r="D163" s="44" t="str">
        <f t="shared" si="24"/>
        <v>RX 561Faixa III</v>
      </c>
      <c r="E163" s="44">
        <v>25</v>
      </c>
      <c r="F163" s="18">
        <v>154.25</v>
      </c>
      <c r="G163" s="18">
        <f t="shared" si="25"/>
        <v>6.17</v>
      </c>
      <c r="H163" s="201">
        <v>0.6</v>
      </c>
      <c r="I163" s="202">
        <v>2.5</v>
      </c>
      <c r="J163" s="204">
        <f t="shared" si="26"/>
        <v>15.43</v>
      </c>
    </row>
    <row r="164" spans="2:10" x14ac:dyDescent="0.3">
      <c r="B164" s="252" t="s">
        <v>24</v>
      </c>
      <c r="C164" s="44" t="s">
        <v>36</v>
      </c>
      <c r="D164" s="44" t="str">
        <f t="shared" si="24"/>
        <v>RX 561Faixa IV</v>
      </c>
      <c r="E164" s="44">
        <v>25</v>
      </c>
      <c r="F164" s="18">
        <v>184.25</v>
      </c>
      <c r="G164" s="18">
        <f t="shared" si="25"/>
        <v>7.37</v>
      </c>
      <c r="H164" s="201">
        <v>0.6</v>
      </c>
      <c r="I164" s="202">
        <v>2.5</v>
      </c>
      <c r="J164" s="204">
        <f t="shared" si="26"/>
        <v>18.43</v>
      </c>
    </row>
    <row r="165" spans="2:10" x14ac:dyDescent="0.3">
      <c r="B165" s="252" t="s">
        <v>24</v>
      </c>
      <c r="C165" s="44" t="s">
        <v>37</v>
      </c>
      <c r="D165" s="44" t="str">
        <f t="shared" si="24"/>
        <v>RX 561Faixa V</v>
      </c>
      <c r="E165" s="44">
        <v>25</v>
      </c>
      <c r="F165" s="18">
        <v>254.5</v>
      </c>
      <c r="G165" s="18">
        <f t="shared" si="25"/>
        <v>10.18</v>
      </c>
      <c r="H165" s="201">
        <v>0.6</v>
      </c>
      <c r="I165" s="202">
        <v>2.5</v>
      </c>
      <c r="J165" s="204">
        <f t="shared" si="26"/>
        <v>25.45</v>
      </c>
    </row>
    <row r="166" spans="2:10" x14ac:dyDescent="0.3">
      <c r="B166" s="252" t="s">
        <v>23</v>
      </c>
      <c r="C166" s="44" t="s">
        <v>31</v>
      </c>
      <c r="D166" s="44" t="str">
        <f t="shared" si="24"/>
        <v>RSR 421Branco</v>
      </c>
      <c r="E166" s="44">
        <v>25</v>
      </c>
      <c r="F166" s="18">
        <v>141.5</v>
      </c>
      <c r="G166" s="18">
        <f t="shared" si="25"/>
        <v>5.66</v>
      </c>
      <c r="H166" s="201">
        <v>0.6</v>
      </c>
      <c r="I166" s="202">
        <v>2.5</v>
      </c>
      <c r="J166" s="204">
        <f t="shared" si="26"/>
        <v>14.15</v>
      </c>
    </row>
    <row r="167" spans="2:10" x14ac:dyDescent="0.3">
      <c r="B167" s="252" t="s">
        <v>23</v>
      </c>
      <c r="C167" s="44" t="s">
        <v>33</v>
      </c>
      <c r="D167" s="44" t="str">
        <f t="shared" si="24"/>
        <v>RSR 421Faixa I</v>
      </c>
      <c r="E167" s="44">
        <v>25</v>
      </c>
      <c r="F167" s="18">
        <v>155.5</v>
      </c>
      <c r="G167" s="18">
        <f t="shared" si="25"/>
        <v>6.22</v>
      </c>
      <c r="H167" s="201">
        <v>0.6</v>
      </c>
      <c r="I167" s="202">
        <v>2.5</v>
      </c>
      <c r="J167" s="204">
        <f t="shared" si="26"/>
        <v>15.55</v>
      </c>
    </row>
    <row r="168" spans="2:10" x14ac:dyDescent="0.3">
      <c r="B168" s="252" t="s">
        <v>23</v>
      </c>
      <c r="C168" s="44" t="s">
        <v>34</v>
      </c>
      <c r="D168" s="44" t="str">
        <f t="shared" si="24"/>
        <v>RSR 421Faixa II</v>
      </c>
      <c r="E168" s="44">
        <v>25</v>
      </c>
      <c r="F168" s="18">
        <v>183.25</v>
      </c>
      <c r="G168" s="18">
        <f t="shared" si="25"/>
        <v>7.33</v>
      </c>
      <c r="H168" s="201">
        <v>0.6</v>
      </c>
      <c r="I168" s="202">
        <v>2.5</v>
      </c>
      <c r="J168" s="204">
        <f t="shared" si="26"/>
        <v>18.329999999999998</v>
      </c>
    </row>
    <row r="169" spans="2:10" x14ac:dyDescent="0.3">
      <c r="B169" s="252" t="s">
        <v>23</v>
      </c>
      <c r="C169" s="44" t="s">
        <v>35</v>
      </c>
      <c r="D169" s="44" t="str">
        <f t="shared" si="24"/>
        <v>RSR 421Faixa III</v>
      </c>
      <c r="E169" s="44">
        <v>25</v>
      </c>
      <c r="F169" s="18">
        <v>211.5</v>
      </c>
      <c r="G169" s="18">
        <f t="shared" si="25"/>
        <v>8.4600000000000009</v>
      </c>
      <c r="H169" s="201">
        <v>0.6</v>
      </c>
      <c r="I169" s="202">
        <v>2.5</v>
      </c>
      <c r="J169" s="204">
        <f t="shared" si="26"/>
        <v>21.15</v>
      </c>
    </row>
    <row r="170" spans="2:10" ht="15" thickBot="1" x14ac:dyDescent="0.35">
      <c r="B170" s="253" t="s">
        <v>23</v>
      </c>
      <c r="C170" s="22" t="s">
        <v>36</v>
      </c>
      <c r="D170" s="22" t="str">
        <f t="shared" si="24"/>
        <v>RSR 421Faixa IV</v>
      </c>
      <c r="E170" s="22">
        <v>25</v>
      </c>
      <c r="F170" s="23">
        <v>253.75</v>
      </c>
      <c r="G170" s="23">
        <f t="shared" si="25"/>
        <v>10.15</v>
      </c>
      <c r="H170" s="206">
        <v>0.6</v>
      </c>
      <c r="I170" s="207">
        <v>2.5</v>
      </c>
      <c r="J170" s="208">
        <f t="shared" si="26"/>
        <v>25.38</v>
      </c>
    </row>
    <row r="171" spans="2:10" ht="15" thickBot="1" x14ac:dyDescent="0.35">
      <c r="H171" s="47"/>
    </row>
    <row r="172" spans="2:10" ht="34.5" customHeight="1" x14ac:dyDescent="0.3">
      <c r="B172" s="34" t="s">
        <v>22</v>
      </c>
      <c r="C172" s="43" t="s">
        <v>30</v>
      </c>
      <c r="D172" s="20" t="s">
        <v>131</v>
      </c>
      <c r="E172" s="19" t="s">
        <v>8</v>
      </c>
      <c r="F172" s="213" t="s">
        <v>13</v>
      </c>
      <c r="G172" s="20" t="s">
        <v>10</v>
      </c>
      <c r="H172" s="41" t="s">
        <v>29</v>
      </c>
      <c r="I172" s="20" t="s">
        <v>20</v>
      </c>
      <c r="J172" s="21" t="s">
        <v>77</v>
      </c>
    </row>
    <row r="173" spans="2:10" x14ac:dyDescent="0.3">
      <c r="B173" s="252" t="s">
        <v>133</v>
      </c>
      <c r="C173" s="44" t="s">
        <v>31</v>
      </c>
      <c r="D173" s="44" t="str">
        <f>B173&amp;C173</f>
        <v>DESIDERI VELLUTOBranco</v>
      </c>
      <c r="E173" s="44">
        <v>20</v>
      </c>
      <c r="F173" s="18">
        <v>168.2</v>
      </c>
      <c r="G173" s="18">
        <f>F173/E173</f>
        <v>8.41</v>
      </c>
      <c r="H173" s="201">
        <v>0.3</v>
      </c>
      <c r="I173" s="211">
        <v>2.5</v>
      </c>
      <c r="J173" s="204">
        <f>ROUND(I173*G173,2)</f>
        <v>21.03</v>
      </c>
    </row>
    <row r="174" spans="2:10" x14ac:dyDescent="0.3">
      <c r="B174" s="252" t="s">
        <v>133</v>
      </c>
      <c r="C174" s="44" t="s">
        <v>33</v>
      </c>
      <c r="D174" s="44" t="str">
        <f t="shared" ref="D174:D176" si="27">B174&amp;C174</f>
        <v>DESIDERI VELLUTOFaixa I</v>
      </c>
      <c r="E174" s="44">
        <v>20</v>
      </c>
      <c r="F174" s="18">
        <v>186.6</v>
      </c>
      <c r="G174" s="18">
        <f t="shared" ref="G174:G176" si="28">F174/E174</f>
        <v>9.33</v>
      </c>
      <c r="H174" s="201">
        <v>0.3</v>
      </c>
      <c r="I174" s="211">
        <v>2.5</v>
      </c>
      <c r="J174" s="204">
        <f t="shared" ref="J174:J176" si="29">ROUND(I174*G174,2)</f>
        <v>23.33</v>
      </c>
    </row>
    <row r="175" spans="2:10" x14ac:dyDescent="0.3">
      <c r="B175" s="252" t="s">
        <v>133</v>
      </c>
      <c r="C175" s="44" t="s">
        <v>34</v>
      </c>
      <c r="D175" s="44" t="str">
        <f t="shared" si="27"/>
        <v>DESIDERI VELLUTOFaixa II</v>
      </c>
      <c r="E175" s="44">
        <v>20</v>
      </c>
      <c r="F175" s="18">
        <v>224.65</v>
      </c>
      <c r="G175" s="18">
        <f t="shared" si="28"/>
        <v>11.2325</v>
      </c>
      <c r="H175" s="201">
        <v>0.3</v>
      </c>
      <c r="I175" s="211">
        <v>2.5</v>
      </c>
      <c r="J175" s="204">
        <f t="shared" si="29"/>
        <v>28.08</v>
      </c>
    </row>
    <row r="176" spans="2:10" ht="15" thickBot="1" x14ac:dyDescent="0.35">
      <c r="B176" s="253" t="s">
        <v>133</v>
      </c>
      <c r="C176" s="22" t="s">
        <v>35</v>
      </c>
      <c r="D176" s="22" t="str">
        <f t="shared" si="27"/>
        <v>DESIDERI VELLUTOFaixa III</v>
      </c>
      <c r="E176" s="22">
        <v>20</v>
      </c>
      <c r="F176" s="23">
        <v>266.89999999999998</v>
      </c>
      <c r="G176" s="23">
        <f t="shared" si="28"/>
        <v>13.344999999999999</v>
      </c>
      <c r="H176" s="206">
        <v>0.3</v>
      </c>
      <c r="I176" s="212">
        <v>2.5</v>
      </c>
      <c r="J176" s="204">
        <f t="shared" si="29"/>
        <v>33.36</v>
      </c>
    </row>
    <row r="177" spans="1:26" x14ac:dyDescent="0.3">
      <c r="H177" s="47"/>
    </row>
    <row r="178" spans="1:26" x14ac:dyDescent="0.3">
      <c r="H178" s="47"/>
    </row>
    <row r="179" spans="1:26" x14ac:dyDescent="0.3">
      <c r="H179" s="47"/>
    </row>
    <row r="180" spans="1:26" x14ac:dyDescent="0.3">
      <c r="H180" s="47"/>
    </row>
    <row r="181" spans="1:26" x14ac:dyDescent="0.3">
      <c r="A181" s="198"/>
      <c r="B181" s="198"/>
      <c r="C181" s="199"/>
      <c r="D181" s="199"/>
      <c r="E181" s="199"/>
      <c r="F181" s="199"/>
      <c r="G181" s="198"/>
      <c r="H181" s="200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</row>
    <row r="182" spans="1:26" x14ac:dyDescent="0.3">
      <c r="H182" s="47"/>
    </row>
    <row r="183" spans="1:26" x14ac:dyDescent="0.3">
      <c r="B183" t="s">
        <v>139</v>
      </c>
      <c r="H183" s="47"/>
    </row>
    <row r="184" spans="1:26" ht="15" thickBot="1" x14ac:dyDescent="0.35">
      <c r="H184" s="47"/>
    </row>
    <row r="185" spans="1:26" x14ac:dyDescent="0.3">
      <c r="B185" s="217" t="s">
        <v>7</v>
      </c>
      <c r="C185" s="20" t="s">
        <v>143</v>
      </c>
      <c r="D185" s="20" t="s">
        <v>150</v>
      </c>
      <c r="E185" s="20" t="s">
        <v>152</v>
      </c>
      <c r="F185" s="20" t="s">
        <v>90</v>
      </c>
      <c r="G185" s="225" t="s">
        <v>153</v>
      </c>
      <c r="H185" s="47"/>
    </row>
    <row r="186" spans="1:26" x14ac:dyDescent="0.3">
      <c r="B186" s="203" t="s">
        <v>144</v>
      </c>
      <c r="C186" s="44">
        <v>25</v>
      </c>
      <c r="D186" s="18">
        <v>25.25</v>
      </c>
      <c r="E186" s="18">
        <f>D186/C186</f>
        <v>1.01</v>
      </c>
      <c r="F186" s="44">
        <v>5.5</v>
      </c>
      <c r="G186" s="204">
        <f>E186*F186</f>
        <v>5.5549999999999997</v>
      </c>
      <c r="H186" s="47"/>
    </row>
    <row r="187" spans="1:26" x14ac:dyDescent="0.3">
      <c r="B187" s="203" t="s">
        <v>145</v>
      </c>
      <c r="C187" s="44">
        <v>25</v>
      </c>
      <c r="D187" s="18">
        <v>27.25</v>
      </c>
      <c r="E187" s="18">
        <f t="shared" ref="E187:E193" si="30">D187/C187</f>
        <v>1.0900000000000001</v>
      </c>
      <c r="F187" s="44">
        <v>5.5</v>
      </c>
      <c r="G187" s="204">
        <f t="shared" ref="G187:G193" si="31">E187*F187</f>
        <v>5.9950000000000001</v>
      </c>
    </row>
    <row r="188" spans="1:26" x14ac:dyDescent="0.3">
      <c r="B188" s="203" t="s">
        <v>142</v>
      </c>
      <c r="C188" s="44">
        <v>25</v>
      </c>
      <c r="D188" s="18">
        <v>45</v>
      </c>
      <c r="E188" s="18">
        <f t="shared" si="30"/>
        <v>1.8</v>
      </c>
      <c r="F188" s="44">
        <v>5.5</v>
      </c>
      <c r="G188" s="204">
        <f t="shared" si="31"/>
        <v>9.9</v>
      </c>
    </row>
    <row r="189" spans="1:26" x14ac:dyDescent="0.3">
      <c r="B189" s="203" t="s">
        <v>147</v>
      </c>
      <c r="C189" s="44">
        <v>25</v>
      </c>
      <c r="D189" s="18">
        <v>32.25</v>
      </c>
      <c r="E189" s="18">
        <f t="shared" si="30"/>
        <v>1.29</v>
      </c>
      <c r="F189" s="44">
        <v>5.5</v>
      </c>
      <c r="G189" s="204">
        <f t="shared" si="31"/>
        <v>7.0950000000000006</v>
      </c>
    </row>
    <row r="190" spans="1:26" x14ac:dyDescent="0.3">
      <c r="B190" s="203" t="s">
        <v>146</v>
      </c>
      <c r="C190" s="44">
        <v>25</v>
      </c>
      <c r="D190" s="18">
        <v>37</v>
      </c>
      <c r="E190" s="18">
        <f t="shared" si="30"/>
        <v>1.48</v>
      </c>
      <c r="F190" s="44">
        <v>5.5</v>
      </c>
      <c r="G190" s="204">
        <f t="shared" si="31"/>
        <v>8.14</v>
      </c>
    </row>
    <row r="191" spans="1:26" x14ac:dyDescent="0.3">
      <c r="B191" s="203" t="s">
        <v>148</v>
      </c>
      <c r="C191" s="44">
        <v>31.25</v>
      </c>
      <c r="D191" s="18">
        <v>64.400000000000006</v>
      </c>
      <c r="E191" s="18">
        <f t="shared" si="30"/>
        <v>2.0608</v>
      </c>
      <c r="F191" s="44">
        <v>5.5</v>
      </c>
      <c r="G191" s="204">
        <f t="shared" si="31"/>
        <v>11.3344</v>
      </c>
    </row>
    <row r="192" spans="1:26" x14ac:dyDescent="0.3">
      <c r="B192" s="203" t="s">
        <v>149</v>
      </c>
      <c r="C192" s="44">
        <v>31.25</v>
      </c>
      <c r="D192" s="18">
        <v>76.599999999999994</v>
      </c>
      <c r="E192" s="18">
        <f t="shared" si="30"/>
        <v>2.4511999999999996</v>
      </c>
      <c r="F192" s="44">
        <v>5.5</v>
      </c>
      <c r="G192" s="204">
        <f t="shared" si="31"/>
        <v>13.481599999999998</v>
      </c>
    </row>
    <row r="193" spans="2:7" ht="15" thickBot="1" x14ac:dyDescent="0.35">
      <c r="B193" s="205" t="s">
        <v>151</v>
      </c>
      <c r="C193" s="22">
        <v>10</v>
      </c>
      <c r="D193" s="23">
        <v>90.95</v>
      </c>
      <c r="E193" s="23">
        <f t="shared" si="30"/>
        <v>9.0950000000000006</v>
      </c>
      <c r="F193" s="22">
        <v>3</v>
      </c>
      <c r="G193" s="208">
        <f t="shared" si="31"/>
        <v>27.285000000000004</v>
      </c>
    </row>
    <row r="196" spans="2:7" x14ac:dyDescent="0.3">
      <c r="B196" t="s">
        <v>157</v>
      </c>
      <c r="C196" s="1">
        <v>5</v>
      </c>
    </row>
    <row r="197" spans="2:7" x14ac:dyDescent="0.3">
      <c r="B197" t="s">
        <v>158</v>
      </c>
      <c r="C197" s="1">
        <v>5</v>
      </c>
    </row>
    <row r="198" spans="2:7" x14ac:dyDescent="0.3">
      <c r="B198" t="s">
        <v>159</v>
      </c>
      <c r="C198" s="1">
        <v>25</v>
      </c>
    </row>
  </sheetData>
  <protectedRanges>
    <protectedRange sqref="B173:B176" name="Intervalo 1"/>
  </protectedRanges>
  <mergeCells count="15">
    <mergeCell ref="H22:H25"/>
    <mergeCell ref="B114:B125"/>
    <mergeCell ref="B126:B128"/>
    <mergeCell ref="B96:B101"/>
    <mergeCell ref="B5:B15"/>
    <mergeCell ref="B16:B25"/>
    <mergeCell ref="B37:B39"/>
    <mergeCell ref="B40:B45"/>
    <mergeCell ref="B54:B64"/>
    <mergeCell ref="B46:B53"/>
    <mergeCell ref="B89:B95"/>
    <mergeCell ref="B83:B88"/>
    <mergeCell ref="B72:B82"/>
    <mergeCell ref="B66:B71"/>
    <mergeCell ref="B26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8</vt:i4>
      </vt:variant>
    </vt:vector>
  </HeadingPairs>
  <TitlesOfParts>
    <vt:vector size="13" baseType="lpstr">
      <vt:lpstr>Folha de Impressão</vt:lpstr>
      <vt:lpstr>CLASSIC</vt:lpstr>
      <vt:lpstr>VELLUTO</vt:lpstr>
      <vt:lpstr>RIVESTO</vt:lpstr>
      <vt:lpstr>Folha3</vt:lpstr>
      <vt:lpstr>cores_fx526</vt:lpstr>
      <vt:lpstr>cortiça</vt:lpstr>
      <vt:lpstr>EPS</vt:lpstr>
      <vt:lpstr>graphitherm</vt:lpstr>
      <vt:lpstr>laderochaduo</vt:lpstr>
      <vt:lpstr>laderochamono</vt:lpstr>
      <vt:lpstr>livingtherm</vt:lpstr>
      <vt:lpstr>silvertech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Carvalho</dc:creator>
  <cp:lastModifiedBy>Pedro Tomas</cp:lastModifiedBy>
  <cp:lastPrinted>2018-02-09T09:05:35Z</cp:lastPrinted>
  <dcterms:created xsi:type="dcterms:W3CDTF">2016-06-21T15:40:56Z</dcterms:created>
  <dcterms:modified xsi:type="dcterms:W3CDTF">2023-06-14T13:38:41Z</dcterms:modified>
</cp:coreProperties>
</file>